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4880" windowHeight="6825" activeTab="1"/>
  </bookViews>
  <sheets>
    <sheet name="Info" sheetId="1" r:id="rId1"/>
    <sheet name="Main" sheetId="2" r:id="rId2"/>
    <sheet name="1) Amazon EC2" sheetId="3" r:id="rId3"/>
    <sheet name="2) Co-Location" sheetId="4" r:id="rId4"/>
    <sheet name="3) On-Site" sheetId="5" r:id="rId5"/>
    <sheet name="Definitions" sheetId="6" r:id="rId6"/>
  </sheets>
  <definedNames>
    <definedName name="AmazonEC2_Goto">'1) Amazon EC2'!$L$1</definedName>
    <definedName name="Colo_AnnualHardwareMaintenanceCost">'Definitions'!$C$20</definedName>
    <definedName name="Colo_BandwidthPriceTiers">'Definitions'!$C$33</definedName>
    <definedName name="Colo_CostperServer">'Definitions'!$C$16</definedName>
    <definedName name="Colo_Goto">'2) Co-Location'!$N$1</definedName>
    <definedName name="Colo_InitialSetupFee">'Definitions'!$C$25</definedName>
    <definedName name="Colo_MegabitsperGB">'Definitions'!$C$30</definedName>
    <definedName name="Colo_NameplatePowerPerServer">'Definitions'!$C$22</definedName>
    <definedName name="Colo_NetworkCost">'Definitions'!$C$18</definedName>
    <definedName name="Colo_NetworkUsefulLife">'Definitions'!$C$19</definedName>
    <definedName name="Colo_OngoingColoFee">'Definitions'!$C$26</definedName>
    <definedName name="Colo_OSCostperServer">'Definitions'!$C$21</definedName>
    <definedName name="Colo_PeaktoAverageRatio">'Definitions'!$C$32</definedName>
    <definedName name="Colo_PowerperRackU">'Definitions'!$C$23</definedName>
    <definedName name="Colo_RemoteHandsCostperHour">'Definitions'!$C$29</definedName>
    <definedName name="Colo_RepairHoursperFailure">'Definitions'!$C$28</definedName>
    <definedName name="Colo_SecondsperMonth">'Definitions'!$C$31</definedName>
    <definedName name="Colo_ServerFailureRate">'Definitions'!$C$27</definedName>
    <definedName name="Colo_ServerSpace">'Definitions'!$C$24</definedName>
    <definedName name="Colo_ServerUsefulLife">'Definitions'!$C$17</definedName>
    <definedName name="Colo_TotalServersNeeded">'Definitions'!$C$15</definedName>
    <definedName name="CostperServer">'Definitions'!$C$16</definedName>
    <definedName name="EC2_DataTransferPricing">'Definitions'!$C$13</definedName>
    <definedName name="EC2_FreeTierDataTransfer">'Definitions'!#REF!</definedName>
    <definedName name="EC2_FreeTierHours">'Definitions'!#REF!</definedName>
    <definedName name="EC2_HoursperYear">'Definitions'!$C$12</definedName>
    <definedName name="EC2_InstancePricing">'Definitions'!$C$11</definedName>
    <definedName name="EC2_PeakInstances">'Definitions'!$C$8</definedName>
    <definedName name="EC2_PeakUsage">'Definitions'!$C$10</definedName>
    <definedName name="EC2_SteadyStateInstances">'Definitions'!$C$7</definedName>
    <definedName name="EC2_SteadyStateUsage">'Definitions'!$C$9</definedName>
    <definedName name="Onsite_AnnualHardwareMaintenanceCost">'Definitions'!$C$40</definedName>
    <definedName name="Onsite_AnnualSalaryperFTE">'Definitions'!$C$55</definedName>
    <definedName name="Onsite_ComputerRoomConstructionCost">'Definitions'!$C$53</definedName>
    <definedName name="Onsite_CostperServer">'Definitions'!$C$36</definedName>
    <definedName name="Onsite_DataCenterConstructionCost">'Definitions'!$C$47</definedName>
    <definedName name="Onsite_DataCenterUsefulLife">'Definitions'!$C$48</definedName>
    <definedName name="Onsite_Goto">'3) On-Site'!$P$1</definedName>
    <definedName name="Onsite_HoursperYear">'Definitions'!$C$44</definedName>
    <definedName name="Onsite_MegabitsperGB">'Definitions'!$C$56</definedName>
    <definedName name="Onsite_MonthlyCostperMegabit">'Definitions'!$C$58</definedName>
    <definedName name="Onsite_NameplatePowerperServer">'Definitions'!$C$42</definedName>
    <definedName name="Onsite_NetworkCost">'Definitions'!$C$38</definedName>
    <definedName name="Onsite_NetworkUsefulLife">'Definitions'!$C$39</definedName>
    <definedName name="Onsite_OSCostperServer">'Definitions'!$C$41</definedName>
    <definedName name="Onsite_PowerConversionFactor">'Definitions'!$C$43</definedName>
    <definedName name="Onsite_PowerperRackUnit">'Definitions'!$C$49</definedName>
    <definedName name="Onsite_PriceperkWHour">'Definitions'!$C$46</definedName>
    <definedName name="Onsite_PUE">'Definitions'!$C$45</definedName>
    <definedName name="Onsite_RackUnitsperRack">'Definitions'!$C$51</definedName>
    <definedName name="Onsite_SecondsperMonth">'Definitions'!$C$57</definedName>
    <definedName name="Onsite_ServerSpace">'Definitions'!$C$50</definedName>
    <definedName name="Onsite_ServersperFTE">'Definitions'!$C$54</definedName>
    <definedName name="Onsite_ServerUsefulLife">'Definitions'!$C$37</definedName>
    <definedName name="Onsite_SpaceperRack">'Definitions'!$C$52</definedName>
    <definedName name="Onsite_TotalServersNeeded">'Definitions'!$C$35</definedName>
    <definedName name="Overview_Goto">'Main'!$J$1</definedName>
    <definedName name="_xlnm.Print_Area" localSheetId="2">'1) Amazon EC2'!$B$2:$W$277</definedName>
    <definedName name="_xlnm.Print_Area" localSheetId="3">'2) Co-Location'!$B$2:$Q$168</definedName>
    <definedName name="_xlnm.Print_Area" localSheetId="4">'3) On-Site'!$B$2:$Q$180</definedName>
    <definedName name="_xlnm.Print_Area" localSheetId="5">'Definitions'!$B$2:$Q$59</definedName>
    <definedName name="_xlnm.Print_Area" localSheetId="0">'Info'!$B$2:$B$19</definedName>
    <definedName name="_xlnm.Print_Area" localSheetId="1">'Main'!$B$2:$Q$65</definedName>
    <definedName name="ServerUsefulLife">'Definitions'!$C$17</definedName>
  </definedNames>
  <calcPr fullCalcOnLoad="1"/>
</workbook>
</file>

<file path=xl/sharedStrings.xml><?xml version="1.0" encoding="utf-8"?>
<sst xmlns="http://schemas.openxmlformats.org/spreadsheetml/2006/main" count="1014" uniqueCount="429">
  <si>
    <t>1 Year</t>
  </si>
  <si>
    <t>3 Year</t>
  </si>
  <si>
    <t>Next 40 TB per Month</t>
  </si>
  <si>
    <t>Next 100 TB per Month</t>
  </si>
  <si>
    <t>Over 150 TB per Month</t>
  </si>
  <si>
    <t>Amazon EC2</t>
  </si>
  <si>
    <t>Linux/Unix</t>
  </si>
  <si>
    <t>Windows</t>
  </si>
  <si>
    <t>Co-lo</t>
  </si>
  <si>
    <t>Cost per Server</t>
  </si>
  <si>
    <t>Total</t>
  </si>
  <si>
    <t>Reserved Instance Pricing</t>
  </si>
  <si>
    <t>Peak Mbps</t>
  </si>
  <si>
    <t>+</t>
  </si>
  <si>
    <t>On-Site</t>
  </si>
  <si>
    <t>Graph Data</t>
  </si>
  <si>
    <t>Operating System</t>
  </si>
  <si>
    <t>Total Annual Cost</t>
  </si>
  <si>
    <t>x</t>
  </si>
  <si>
    <t>Repair Hours per Failure</t>
  </si>
  <si>
    <t>Network Hardware</t>
  </si>
  <si>
    <t>Initial Capital Expense</t>
  </si>
  <si>
    <t>Annualized Expense</t>
  </si>
  <si>
    <t>Number of servers multiplied by server unit cost</t>
  </si>
  <si>
    <t>Annual Expense</t>
  </si>
  <si>
    <t>Number of servers multiplied by server software unit cost</t>
  </si>
  <si>
    <t>Total Annual Power Cost</t>
  </si>
  <si>
    <t>Annual power usage multiplied by user-defined electricity price per kW.</t>
  </si>
  <si>
    <t>Total average power usage multiplied by user-defined cost per kW data center build cost</t>
  </si>
  <si>
    <t>=</t>
  </si>
  <si>
    <t>Total Number of Servers</t>
  </si>
  <si>
    <t>Total Annual Administration Expense</t>
  </si>
  <si>
    <t>Administrators needed multiplied by user-defined average annual salary per FTE</t>
  </si>
  <si>
    <t>Initial capital cost of hardware (servers &amp; network) multiplied by annual maintenance cost (%)</t>
  </si>
  <si>
    <t>On-Demand Instances</t>
  </si>
  <si>
    <t>Initial Co-Location Setup Fee</t>
  </si>
  <si>
    <t>On-going Co-location Expense</t>
  </si>
  <si>
    <t>Total Annual Co-Location Expense</t>
  </si>
  <si>
    <t>Total Annual Bandwith Expense</t>
  </si>
  <si>
    <t>Monthly bandwidth cost multiplied by 12 (months/year)</t>
  </si>
  <si>
    <t>Monthly Bandwidth Cost</t>
  </si>
  <si>
    <t>Bandwidth Usage</t>
  </si>
  <si>
    <t>Monthly Download (GB)</t>
  </si>
  <si>
    <t>Monthly Upload (GB)</t>
  </si>
  <si>
    <t>Download by Price Tier</t>
  </si>
  <si>
    <t>2.2 Network Hardware</t>
  </si>
  <si>
    <t>Total Servers Needed</t>
  </si>
  <si>
    <t>On-Demand Pricing</t>
  </si>
  <si>
    <t>No. of Peak Instances</t>
  </si>
  <si>
    <t>Maximium Instances Needed</t>
  </si>
  <si>
    <t>Price per EC2 Instance Hour</t>
  </si>
  <si>
    <t>No. of Steady State Servers</t>
  </si>
  <si>
    <t>No. of Peak Servers</t>
  </si>
  <si>
    <t>Co-Location</t>
  </si>
  <si>
    <t>Cost</t>
  </si>
  <si>
    <t>Number of servers multiplied by user-defined annual failure rate, hours/failure, and smart-hands cost/hour</t>
  </si>
  <si>
    <t>Detailed Assumptions and Calculations</t>
  </si>
  <si>
    <t>The following table enables the operating system drop-down menu.</t>
  </si>
  <si>
    <t>Initial capital cost divided by server useful life</t>
  </si>
  <si>
    <t>TCO AMAZON EC2</t>
  </si>
  <si>
    <t>Initial capital cost divided by hardware useful life</t>
  </si>
  <si>
    <t>Number of U Needed (Space)</t>
  </si>
  <si>
    <t>Number of U Needed (Power)</t>
  </si>
  <si>
    <t>Rack U Needed (Max Power/Space)</t>
  </si>
  <si>
    <t>Number of rack U needed based on the greater of power and space demand</t>
  </si>
  <si>
    <t>Number of RUs multiplied by user-defined co-location set-up fee per rack U</t>
  </si>
  <si>
    <t>Number of rack U needed multiplied by user-defined monthly fee per rack U multiplied by 12 (months/year)</t>
  </si>
  <si>
    <t>The monthly bandwidth prices for Amazon EC2.  Amazon EC2 bandwidth is charged on data transferred "in" and "out" of Amazon EC2.  Data transferred between two Amazon Web Services within the same region (i.e. between Amazon EC2 US and another AWS service in the US, or between Amazon EC2 Europe and another AWS service in Europe) is free of charge (i.e., $0.00 per GB). Data transferred between AWS services in different regions will be charged as Internet Data Transfer on both sides of the transfer.  See http://aws.amazon.com/ec2 for more information on Amazon EC2 bandwidth pricing.</t>
  </si>
  <si>
    <t>Price per Mb/sec</t>
  </si>
  <si>
    <t>Co-location</t>
  </si>
  <si>
    <t>2.1  Server Hardware</t>
  </si>
  <si>
    <t>2.2  Network Hardware</t>
  </si>
  <si>
    <t>2.3  Hardware Maintenance</t>
  </si>
  <si>
    <t>2.5  Co-Location Expense</t>
  </si>
  <si>
    <t>2.6  Remote Hands Support</t>
  </si>
  <si>
    <t>3.1  Server Hardware</t>
  </si>
  <si>
    <t>3.2  Network Hardware</t>
  </si>
  <si>
    <t>3.3  Hardware Maintenance</t>
  </si>
  <si>
    <t>3. 5  Power and Cooling</t>
  </si>
  <si>
    <t>3.7  Administration</t>
  </si>
  <si>
    <t>Average Server Power Usage (Watts)</t>
  </si>
  <si>
    <t>Explanation</t>
  </si>
  <si>
    <t>Annual Cost</t>
  </si>
  <si>
    <t>Initial Cost</t>
  </si>
  <si>
    <t>2.1 Server Hardware</t>
  </si>
  <si>
    <t>Server Useful Life</t>
  </si>
  <si>
    <t>Server Useful Life (Years)</t>
  </si>
  <si>
    <t>Network Useful Life (Years)</t>
  </si>
  <si>
    <t>Initial Server Cost</t>
  </si>
  <si>
    <t>Initial Network Cost</t>
  </si>
  <si>
    <t>2.3 Hardware Maintenance</t>
  </si>
  <si>
    <t>Annual Hardware Maintenance</t>
  </si>
  <si>
    <t>Total Hardware Cost</t>
  </si>
  <si>
    <t>Annual Maintenance Cost</t>
  </si>
  <si>
    <t>÷</t>
  </si>
  <si>
    <t>Annual Maintenance Expense</t>
  </si>
  <si>
    <t>2.4 Software Operating System</t>
  </si>
  <si>
    <t>Total Server Demand</t>
  </si>
  <si>
    <t>Initial Expense</t>
  </si>
  <si>
    <t>2.5 Co-Location Expense</t>
  </si>
  <si>
    <t>CALCULATIONS/ASSUMPTIONS</t>
  </si>
  <si>
    <t>Total Average Power Usage (Watts)</t>
  </si>
  <si>
    <t>Server Space (Rack U)</t>
  </si>
  <si>
    <t>Rack U Needed</t>
  </si>
  <si>
    <t>Max</t>
  </si>
  <si>
    <t>Step 1:  Determine the number of rack units (U) needed</t>
  </si>
  <si>
    <t>Step 2:  Determine the total co-location cost</t>
  </si>
  <si>
    <t>2.6 Remote Hands Support</t>
  </si>
  <si>
    <t>Network Cost (% of Initial Server Cost)</t>
  </si>
  <si>
    <t>Total average server power usage divided by user-defined power per rack U (in watts)</t>
  </si>
  <si>
    <t>Total Set-up Fee</t>
  </si>
  <si>
    <t>Co-lo Non-Recurring Cost (NRC)</t>
  </si>
  <si>
    <t>Co-lo Monthly Recurring Cost (MRC)</t>
  </si>
  <si>
    <t>Monthly Co-Lo Fee (Per U)</t>
  </si>
  <si>
    <t>Initial Co-Lo Set-up Fee (per U)</t>
  </si>
  <si>
    <t>Monthly Co-Lo Expense</t>
  </si>
  <si>
    <t>Months/Year</t>
  </si>
  <si>
    <t>Sum of annualized non-recurring set-up fees and monthly reocurring monthly fees</t>
  </si>
  <si>
    <t>Annual Server Failure Rate</t>
  </si>
  <si>
    <t>Monthly Average Mbps</t>
  </si>
  <si>
    <t>Download (GB) ]</t>
  </si>
  <si>
    <t>[  Upload (GB)</t>
  </si>
  <si>
    <t>Monthly Cost</t>
  </si>
  <si>
    <t>Months per Year</t>
  </si>
  <si>
    <t>Co-Lo Pricing Tiers</t>
  </si>
  <si>
    <t>1. Amazon Elastic Compute Cloud (EC2)</t>
  </si>
  <si>
    <t>2. Co-Location</t>
  </si>
  <si>
    <t>3. On-Site</t>
  </si>
  <si>
    <t>PUE</t>
  </si>
  <si>
    <t>Hours per Year</t>
  </si>
  <si>
    <t>Watts/Kilowatt</t>
  </si>
  <si>
    <t>Server Power Usage (Watts)</t>
  </si>
  <si>
    <t>Server Annual Power Usage (kW)</t>
  </si>
  <si>
    <t>Total Annual Power Usage</t>
  </si>
  <si>
    <t>Infrastructure Annual Power Usage (kW)</t>
  </si>
  <si>
    <t>Total Annual Power Usage (kW)</t>
  </si>
  <si>
    <t>Price/kW hour</t>
  </si>
  <si>
    <t>Annual Power Expense</t>
  </si>
  <si>
    <t>Server Power Usage (kW)</t>
  </si>
  <si>
    <t>Data Center Construction Cost per kW</t>
  </si>
  <si>
    <t>Data Center Useful Life</t>
  </si>
  <si>
    <t>Annual Data Center Cost</t>
  </si>
  <si>
    <t>Total Data Center Construction Cost</t>
  </si>
  <si>
    <t>Number of FTE Needed</t>
  </si>
  <si>
    <t>3.1 Server Hardware</t>
  </si>
  <si>
    <t>Total data center construction cost divided by estimated data center useful life</t>
  </si>
  <si>
    <t>3.2 Network Hardware</t>
  </si>
  <si>
    <t>3.3 Hardware Maintenance</t>
  </si>
  <si>
    <t>3.4 Software Operating System</t>
  </si>
  <si>
    <t>3.5 Power and Cooling</t>
  </si>
  <si>
    <t>3.7 Administration</t>
  </si>
  <si>
    <t>Note:  All assumptions can be edited below</t>
  </si>
  <si>
    <t>1.1 Instance Hours</t>
  </si>
  <si>
    <t>OS:</t>
  </si>
  <si>
    <t>On-Demand Instance Pricing</t>
  </si>
  <si>
    <t>Annual Usage Expense (On-Demand Pricing)</t>
  </si>
  <si>
    <t>* The 3-year one-time reserve fee is annualized over three years</t>
  </si>
  <si>
    <t>The annual instance cost is the total annual hours of instance usage multiplied by the hourly cost of Amazon EC2.  The hourly price is determined by the user-defined instance type, region, and operating system.</t>
  </si>
  <si>
    <t>Annual Expense with On-Demand Pricing</t>
  </si>
  <si>
    <t>1.2 Data Transfer</t>
  </si>
  <si>
    <t>Monthly cost of data transfer (upload) multiplied by 12 (months/year)</t>
  </si>
  <si>
    <t>Monthly cost of data transfer (download) multiplied by 12 (months/year)</t>
  </si>
  <si>
    <t>Annual Download Expense</t>
  </si>
  <si>
    <t>Annual Upload Expense</t>
  </si>
  <si>
    <t>On-Demand Price per EC2 Instance Hour</t>
  </si>
  <si>
    <t>Total Annual Instance Expense</t>
  </si>
  <si>
    <t>2.7  Data Transfer</t>
  </si>
  <si>
    <t>Monthly Expense</t>
  </si>
  <si>
    <t>2.7 Data Transfer</t>
  </si>
  <si>
    <t>Bandwidth Expense</t>
  </si>
  <si>
    <t>The co-lo pricing tiers below allows to define different prices for varying levels of data transfer.  Tiers should be in ascending order.</t>
  </si>
  <si>
    <t>Network Cost</t>
  </si>
  <si>
    <t>Network Useful Life</t>
  </si>
  <si>
    <t>Annual Hardware Maintenance Cost</t>
  </si>
  <si>
    <t>Operating System Cost per Server</t>
  </si>
  <si>
    <t>OS Cost per Server</t>
  </si>
  <si>
    <t>Power per Rack Unit (U)</t>
  </si>
  <si>
    <t>Power per Rack U (Watts)</t>
  </si>
  <si>
    <t>Server Space</t>
  </si>
  <si>
    <t>Seconds per Month</t>
  </si>
  <si>
    <t>Megabits per GB</t>
  </si>
  <si>
    <t>1.2  Data Transfer</t>
  </si>
  <si>
    <t>1.1  On-demand Instance Usage</t>
  </si>
  <si>
    <t>1 Year Reserved Instances</t>
  </si>
  <si>
    <t>3 Year Reserved Instances</t>
  </si>
  <si>
    <t>Servers per FTE</t>
  </si>
  <si>
    <t>Annual Salary per FTE</t>
  </si>
  <si>
    <t>Rack Units per Rack</t>
  </si>
  <si>
    <t>Computer Room Cost</t>
  </si>
  <si>
    <t>Annual Computer Room Cost</t>
  </si>
  <si>
    <t>Note:  The number of rack units (U) needed is based on either a) the space needs of the servers or b) the power needs of the servers, whichever is greater.</t>
  </si>
  <si>
    <t>Computer room cost divided by computer room useful life</t>
  </si>
  <si>
    <r>
      <t>Rack units needed divided by rack units/rack, multipled by space per rack and computer room cost per ft</t>
    </r>
    <r>
      <rPr>
        <vertAlign val="superscript"/>
        <sz val="10"/>
        <color indexed="8"/>
        <rFont val="Calibri"/>
        <family val="2"/>
      </rPr>
      <t>2</t>
    </r>
  </si>
  <si>
    <t>Number of servers multiplied by the estimated space (rack units) occupied by each server</t>
  </si>
  <si>
    <t>3.6 Data Center Construction</t>
  </si>
  <si>
    <t>3.6  Data Center Construction</t>
  </si>
  <si>
    <t>Step 1:  Determine the "kW component" construction cost</t>
  </si>
  <si>
    <t>Step 2:  Determine the number of rack units (U) needed</t>
  </si>
  <si>
    <t>Step 3:  Determine the computer room construction cost</t>
  </si>
  <si>
    <t>3.4  Operating System</t>
  </si>
  <si>
    <t>2.4 Operating System</t>
  </si>
  <si>
    <t>Annual Expense (On-Demand Pricing)</t>
  </si>
  <si>
    <t>No. of Peak Instances*</t>
  </si>
  <si>
    <t>Amazon EC2 Instance Pricing</t>
  </si>
  <si>
    <t>Amazon EC2 Bandwidth Pricing</t>
  </si>
  <si>
    <t>Annual Usage of Peak Instances*</t>
  </si>
  <si>
    <t>Download Price per GB per Month</t>
  </si>
  <si>
    <t>Upload Price per GB per Month</t>
  </si>
  <si>
    <t>The per hour usage price of Amazon EC2 instances.  Per-hour compute prices are based on instance type, region, operating system, and pricing model.  Customers can choose to pay  on-demand instance prices or reserved instance prices.  See http://aws.amazon.com/ec2 for more information on Amazon EC2 instance pricing.</t>
  </si>
  <si>
    <t>Tier</t>
  </si>
  <si>
    <t>Power Conversion Factor</t>
  </si>
  <si>
    <t>Peak-to-Average Ratio</t>
  </si>
  <si>
    <t>Peak/Average Ratio</t>
  </si>
  <si>
    <t>Bandwidth Price Tiers</t>
  </si>
  <si>
    <t>Nameplate Power per Server (Watts)</t>
  </si>
  <si>
    <t>Total Power Usage (Watts)</t>
  </si>
  <si>
    <t>Namplate Power per Server (W)</t>
  </si>
  <si>
    <t>Price per kW Hour</t>
  </si>
  <si>
    <t>Computer Room Construction Cost (per ft2)</t>
  </si>
  <si>
    <r>
      <t xml:space="preserve">Note:  The number of rack units (U) needed is based on either the </t>
    </r>
    <r>
      <rPr>
        <b/>
        <u val="single"/>
        <sz val="10"/>
        <color indexed="56"/>
        <rFont val="Calibri"/>
        <family val="2"/>
      </rPr>
      <t>space</t>
    </r>
    <r>
      <rPr>
        <b/>
        <sz val="10"/>
        <color indexed="56"/>
        <rFont val="Calibri"/>
        <family val="2"/>
      </rPr>
      <t xml:space="preserve"> needs of the servers or the </t>
    </r>
    <r>
      <rPr>
        <b/>
        <u val="single"/>
        <sz val="10"/>
        <color indexed="56"/>
        <rFont val="Calibri"/>
        <family val="2"/>
      </rPr>
      <t xml:space="preserve">power </t>
    </r>
    <r>
      <rPr>
        <b/>
        <sz val="10"/>
        <color indexed="56"/>
        <rFont val="Calibri"/>
        <family val="2"/>
      </rPr>
      <t>needs of the servers, whichever is greater.</t>
    </r>
  </si>
  <si>
    <t>Rack U Needed (Space)</t>
  </si>
  <si>
    <t>Rack U Needed (Power)</t>
  </si>
  <si>
    <t>Rack U per Rack</t>
  </si>
  <si>
    <t>Space per Rack</t>
  </si>
  <si>
    <t>Space per Rack (ft2)</t>
  </si>
  <si>
    <t>Computer Room Contruction Cost</t>
  </si>
  <si>
    <t>Monthly Cost per Megabit</t>
  </si>
  <si>
    <t>Computer Room Construction Cost</t>
  </si>
  <si>
    <t>Total Cost of Data Transfer</t>
  </si>
  <si>
    <t>3.8 Data Transfer</t>
  </si>
  <si>
    <t>Average monthly mbps mulitipled by user-defined cost per megabit multiplied by 12 (months/year)</t>
  </si>
  <si>
    <t>3.8  Data Transfer</t>
  </si>
  <si>
    <t>TCO CO-LOCATION</t>
  </si>
  <si>
    <t>TCO ON-SITE</t>
  </si>
  <si>
    <t>Total hours of instance usage multiplied by instance hour price</t>
  </si>
  <si>
    <t>Hours of peak instance usage multiplied by hourly on-demand instance price</t>
  </si>
  <si>
    <t>Annual Maintenance Cost (%)</t>
  </si>
  <si>
    <t>Maximum server power usage divided by user-defined power per rack U (in watts)</t>
  </si>
  <si>
    <t>Total number of rack units (U) based on server size</t>
  </si>
  <si>
    <t>* Nameplate Power per Server is from Section 3.5, above</t>
  </si>
  <si>
    <t>Nameplate Power per Server (Watts)*</t>
  </si>
  <si>
    <t>Initial co-location setup fee divided by server useful life</t>
  </si>
  <si>
    <t>No. of Steady State Servers*</t>
  </si>
  <si>
    <t>No. of Peak Servers*</t>
  </si>
  <si>
    <t>Initial capital cost of servers multiplied by network cost (%)</t>
  </si>
  <si>
    <t>Annual Network Expense</t>
  </si>
  <si>
    <t>Annual Server Expense</t>
  </si>
  <si>
    <t>Total "kW Component" Construction Cost</t>
  </si>
  <si>
    <t>Data Transfer</t>
  </si>
  <si>
    <t>(1)</t>
  </si>
  <si>
    <t>(2)</t>
  </si>
  <si>
    <t>(3)</t>
  </si>
  <si>
    <t>(4)</t>
  </si>
  <si>
    <t>(5)</t>
  </si>
  <si>
    <t>Cost Components</t>
  </si>
  <si>
    <t>(6)</t>
  </si>
  <si>
    <t>Value</t>
  </si>
  <si>
    <t>= User Inputs</t>
  </si>
  <si>
    <t>Amazon EC2 Instance Type</t>
  </si>
  <si>
    <t>1.2    Data Transfer</t>
  </si>
  <si>
    <t>Server Useful Life (Years)*</t>
  </si>
  <si>
    <t>* From above section 3.1, above</t>
  </si>
  <si>
    <t>* From above section 2.1, above</t>
  </si>
  <si>
    <t>Avg. Monthly Data Transfer "In" Per Instance (GB)</t>
  </si>
  <si>
    <t>Avg. Monthly Data Transfer "Out" Per Instance (GB)</t>
  </si>
  <si>
    <t>Annual Utilization</t>
  </si>
  <si>
    <t>Size of Deployment/Utilization</t>
  </si>
  <si>
    <t>Total Deployment/Average Utilization</t>
  </si>
  <si>
    <t>Total Monthly Data Transfer (GB)</t>
  </si>
  <si>
    <t>Annual Total Cost of Ownership (TCO) Summary</t>
  </si>
  <si>
    <t>&amp;</t>
  </si>
  <si>
    <t>1) Amazon EC2</t>
  </si>
  <si>
    <t>2) Co-Location</t>
  </si>
  <si>
    <t>3) On-Site</t>
  </si>
  <si>
    <t>1.1 Instance Fees and Usage</t>
  </si>
  <si>
    <r>
      <t xml:space="preserve">This tab highlights the assumptions and calculations used to determine the total </t>
    </r>
    <r>
      <rPr>
        <u val="single"/>
        <sz val="10"/>
        <color indexed="8"/>
        <rFont val="Calibri"/>
        <family val="2"/>
      </rPr>
      <t>annual</t>
    </r>
    <r>
      <rPr>
        <sz val="10"/>
        <color indexed="8"/>
        <rFont val="Calibri"/>
        <family val="2"/>
      </rPr>
      <t xml:space="preserve"> cost of ownership of Amazon EC2.</t>
    </r>
  </si>
  <si>
    <t>Additional Data enabling calculator functionality.  Users can ignore.</t>
  </si>
  <si>
    <t>Data Transfer "In"</t>
  </si>
  <si>
    <t>Data Transfer "Out"</t>
  </si>
  <si>
    <t>Amazon EC2 Cost Comparison Calculator</t>
  </si>
  <si>
    <t>Notices</t>
  </si>
  <si>
    <r>
      <t xml:space="preserve">This tab highlights the assumptions and calculations used to determine the </t>
    </r>
    <r>
      <rPr>
        <i/>
        <sz val="10"/>
        <color indexed="8"/>
        <rFont val="Calibri"/>
        <family val="2"/>
      </rPr>
      <t>annual</t>
    </r>
    <r>
      <rPr>
        <sz val="10"/>
        <color indexed="8"/>
        <rFont val="Calibri"/>
        <family val="2"/>
      </rPr>
      <t xml:space="preserve"> cost of operating hardware in co-located data centers.  All default assumptions can be edited.</t>
    </r>
  </si>
  <si>
    <r>
      <t xml:space="preserve">This tab highlights the assumptions and calculations used to determine the </t>
    </r>
    <r>
      <rPr>
        <i/>
        <sz val="10"/>
        <color indexed="8"/>
        <rFont val="Calibri"/>
        <family val="2"/>
      </rPr>
      <t>annual</t>
    </r>
    <r>
      <rPr>
        <sz val="10"/>
        <color indexed="8"/>
        <rFont val="Calibri"/>
        <family val="2"/>
      </rPr>
      <t xml:space="preserve"> cost of operating hardware in on-site data centers.  All default assumptions can be edited.</t>
    </r>
  </si>
  <si>
    <t>Contents</t>
  </si>
  <si>
    <t>Additional References</t>
  </si>
  <si>
    <t>Average Annual Usage of Peak Instances*</t>
  </si>
  <si>
    <t>Average Annual Usage of Peak Instances</t>
  </si>
  <si>
    <t>Cost of servers, categorized by Amazon EC2 Instance type (Standard Small, Standard Large, Standard Extra Large, High CPU Medium, High CPU Extra Large)</t>
  </si>
  <si>
    <t>Estimated useful life (in years) of servers</t>
  </si>
  <si>
    <t>The network hardware cost, expressed as a percentage of the initial purchase (or acquisition) price of server hardware</t>
  </si>
  <si>
    <t>Estimated useful life (in years) of network hardware</t>
  </si>
  <si>
    <t>Annual maintenance rate for server and network hardware as a percentage of initial purchase price</t>
  </si>
  <si>
    <t>Operating system cost per server</t>
  </si>
  <si>
    <t>The allotment of power (watts) provided to each unit of rack space as determined by the co-location provider</t>
  </si>
  <si>
    <t>Initial Co-Lo Set-up Fees</t>
  </si>
  <si>
    <t>The initial set-up fee charged by co-location providers to install equipment in each unit of space</t>
  </si>
  <si>
    <t>On-going Co-Lo Fee</t>
  </si>
  <si>
    <t>The monthly fee charged by co-location providers per unit of space</t>
  </si>
  <si>
    <t>Server Failure Rate</t>
  </si>
  <si>
    <t>The annual failure rate of servers, including episodes requiring configuration, reboot, troubleshooting, etc.</t>
  </si>
  <si>
    <t>The average number of hours required to respond to server failures</t>
  </si>
  <si>
    <t xml:space="preserve">The hourly rate for remote hands support in a co-located data center </t>
  </si>
  <si>
    <t>Remote Hands Cost per Hour</t>
  </si>
  <si>
    <t>The number of seconds in an average month.  Assumes 60 seconds/minute x 60 minutes/hour x 24 hours/day x 7 days/week x 30.5 days/month = 2,635,200 seconds.</t>
  </si>
  <si>
    <t>Constant used to determine the number of megabits per GB  (1,024 megabytes per gigabyte, and 8 bits per byte, or 1,024 x 8 = 8,192)</t>
  </si>
  <si>
    <t>Conversion factor used to determine the peak actual data transfer per second (as a multiple of average data transfer)</t>
  </si>
  <si>
    <t>The monthly cost per Mb/sec for bandwidth that is charged by the co-location provider.  Most co-location providers charge bandwidth based on a tiered system.</t>
  </si>
  <si>
    <t>Watts/ Kilowatt</t>
  </si>
  <si>
    <t>The number of hours each year the server is turned on, assumes 24x7x52 = 8,736</t>
  </si>
  <si>
    <t>Price per hour per kW of electricity</t>
  </si>
  <si>
    <t>The construction cost per kW of electricity demanded to build a data center with power, cooling, and auxiliary support systems.</t>
  </si>
  <si>
    <t>The expected useful life (in years) of a newly constructed data center</t>
  </si>
  <si>
    <t>The allotment of power (watts) provided to each unit of rack space in the on-site data center</t>
  </si>
  <si>
    <t>The typical number of rack units in a standard 19” rack.</t>
  </si>
  <si>
    <t>The amount of computer room space occupied by a rack included surrounding buffer space.</t>
  </si>
  <si>
    <t>The cost per square ft to build a computer room in a data center.</t>
  </si>
  <si>
    <t>Number of servers that one FTE server administrator can support</t>
  </si>
  <si>
    <t>Average annual salary of a FTE Administrator</t>
  </si>
  <si>
    <t>Price for bandwidth per Mbps based on total transferred</t>
  </si>
  <si>
    <t>Explanation of User-Inputs on Tabs 1-3</t>
  </si>
  <si>
    <r>
      <t xml:space="preserve">This tab provides a brief description of the user inputs on tabs 1-3.  Please see </t>
    </r>
    <r>
      <rPr>
        <i/>
        <sz val="10"/>
        <color indexed="8"/>
        <rFont val="Calibri"/>
        <family val="2"/>
      </rPr>
      <t>User Guide:  Amazon EC2 Cost Comparison Calculator</t>
    </r>
    <r>
      <rPr>
        <sz val="10"/>
        <color indexed="8"/>
        <rFont val="Calibri"/>
        <family val="2"/>
      </rPr>
      <t xml:space="preserve"> for more information.</t>
    </r>
  </si>
  <si>
    <r>
      <t xml:space="preserve">For more information on how to use the Amazon EC2 Cost Comparison Calculator, consult the </t>
    </r>
    <r>
      <rPr>
        <i/>
        <sz val="11"/>
        <color indexed="8"/>
        <rFont val="Constantia"/>
        <family val="1"/>
      </rPr>
      <t>User Guide for Amazon EC2 Cost Comparison Calculator</t>
    </r>
    <r>
      <rPr>
        <sz val="11"/>
        <color indexed="8"/>
        <rFont val="Constantia"/>
        <family val="1"/>
      </rPr>
      <t xml:space="preserve">, at http://aws.amazon.com/economics </t>
    </r>
  </si>
  <si>
    <t>Publish Date</t>
  </si>
  <si>
    <t>Annual Usage Expense (On-Demand Instances)</t>
  </si>
  <si>
    <t>*Note:  One-Time Expense (3 Year Reserve) is divided by 3 (years) to determine annual initial reserve expense</t>
  </si>
  <si>
    <t>Amazon EC2 (On-Demand Instances Only)</t>
  </si>
  <si>
    <t>The following table enables the Amazon EC2 Comparison Pie Chart</t>
  </si>
  <si>
    <t>Main</t>
  </si>
  <si>
    <t>Instructions</t>
  </si>
  <si>
    <t>(Note:  No. of steady state and peak servers is derived from user inputs on "Main" tab)</t>
  </si>
  <si>
    <r>
      <t xml:space="preserve">Compare the annual cost of Amazon EC2 with an equivalent deployment in co-located and on-site data centers by entering a few basic inputs.    Default assumptions are based on industry data and AWS customer research.  </t>
    </r>
    <r>
      <rPr>
        <u val="single"/>
        <sz val="10"/>
        <color indexed="8"/>
        <rFont val="Calibri"/>
        <family val="2"/>
      </rPr>
      <t>All</t>
    </r>
    <r>
      <rPr>
        <sz val="10"/>
        <color indexed="8"/>
        <rFont val="Calibri"/>
        <family val="2"/>
      </rPr>
      <t xml:space="preserve"> assumptions can be edited by users.  For more detail, users can go to the "Amazon EC2," "Co-Lo," and "On-Site" tabs to view detailed calculations or edit default assumptions for each scenario.</t>
    </r>
  </si>
  <si>
    <t xml:space="preserve">The server nameplate value, which is marked on the server by the manufacturer, is the maxium possible power value that the server can consume.  Actual power consumption is typically much less than the nameplate power rating.  To determine the power usage of server hardware, the Amazon EC2 TCO Calculator de-rates the server nameplate value by a user-defined power conversion value.  The power conversion factor can vary considerably between 25% and 80% of the nameplate rating.   (See http://www.datacenterdynamics.com/Media/MediaManager/Greening%20IT.pdf for more information). </t>
  </si>
  <si>
    <t>The "power usage effectiveness" or PUE ratio is a metric used to determine the energy efficiency of a data center.  A PUE of 3.0 means for every 3.0 watts of electricity entering the facility, only 1.0 watts is used to support computing activities (i.e. servers) while the other 2.0 watts support other infrastructure (i.e. cooling).</t>
  </si>
  <si>
    <t>Rack Units</t>
  </si>
  <si>
    <t>High-Memory Double Extra Large</t>
  </si>
  <si>
    <t>High-Memory Quadruple Extra Large</t>
  </si>
  <si>
    <t>Standard Small</t>
  </si>
  <si>
    <t>Standard Large</t>
  </si>
  <si>
    <t>Standard Extra Large</t>
  </si>
  <si>
    <t>High-CPU Medium</t>
  </si>
  <si>
    <t>High-CPU Extra Large</t>
  </si>
  <si>
    <t>The amount of power (watts) used by servers, categorized by Amazon EC2-equivalent server type (Standard Small, Standard Large, Standard Extra Large, High Memory Double Extra Large, High Memory Quadruple Extra Large, High-CPU Medium, High-CPU Extra Large)</t>
  </si>
  <si>
    <t>The rack unit space occupied by Amazon EC2 equivalent servers, categorized by Amazon EC2-equivalent server type (Standard Small, Standard Large, Standard Extra Large, High Memory Double Extra Large, High Memory Quadruple Extra Large, High-CPU Medium, High-CPU Extra Large)</t>
  </si>
  <si>
    <t>Cost of servers, categorized by Amazon EC2 Instance type (Standard Small, Standard Large, Standard Extra Large, High Memory Double Extra Large, High Memory Quadruple Extra Large, High-CPU Medium, High-CPU Extra Large)</t>
  </si>
  <si>
    <t>The average percentage of time (each year) that peak instances are utilized.</t>
  </si>
  <si>
    <t>*  User inputs from "Main" tab</t>
  </si>
  <si>
    <t xml:space="preserve">This tab compares the annual cost of Amazon Elastic Compute Cloud (EC2) with the annual cost of co-located and on-site corporate data centers.  </t>
  </si>
  <si>
    <t>No. of Baseline Instances</t>
  </si>
  <si>
    <r>
      <rPr>
        <b/>
        <sz val="10"/>
        <color indexed="53"/>
        <rFont val="Calibri"/>
        <family val="2"/>
      </rPr>
      <t>(2)</t>
    </r>
    <r>
      <rPr>
        <sz val="10"/>
        <color indexed="53"/>
        <rFont val="Calibri"/>
        <family val="2"/>
      </rPr>
      <t xml:space="preserve"> </t>
    </r>
    <r>
      <rPr>
        <sz val="10"/>
        <color indexed="8"/>
        <rFont val="Calibri"/>
        <family val="2"/>
      </rPr>
      <t>Enter number of baseline instances (to meet minimum demand)</t>
    </r>
  </si>
  <si>
    <r>
      <rPr>
        <b/>
        <sz val="10"/>
        <color indexed="53"/>
        <rFont val="Calibri"/>
        <family val="2"/>
      </rPr>
      <t>(5)</t>
    </r>
    <r>
      <rPr>
        <b/>
        <sz val="10"/>
        <color indexed="53"/>
        <rFont val="Calibri"/>
        <family val="2"/>
      </rPr>
      <t xml:space="preserve"> </t>
    </r>
    <r>
      <rPr>
        <sz val="10"/>
        <color indexed="8"/>
        <rFont val="Calibri"/>
        <family val="2"/>
      </rPr>
      <t xml:space="preserve">Enter percentage of time each year </t>
    </r>
    <r>
      <rPr>
        <i/>
        <sz val="10"/>
        <color indexed="8"/>
        <rFont val="Calibri"/>
        <family val="2"/>
      </rPr>
      <t>peak</t>
    </r>
    <r>
      <rPr>
        <sz val="10"/>
        <color indexed="8"/>
        <rFont val="Calibri"/>
        <family val="2"/>
      </rPr>
      <t xml:space="preserve"> instances are used (i.e. 10%)</t>
    </r>
  </si>
  <si>
    <r>
      <rPr>
        <b/>
        <sz val="10"/>
        <color indexed="53"/>
        <rFont val="Calibri"/>
        <family val="2"/>
      </rPr>
      <t>(6)</t>
    </r>
    <r>
      <rPr>
        <b/>
        <sz val="10"/>
        <color indexed="53"/>
        <rFont val="Calibri"/>
        <family val="2"/>
      </rPr>
      <t xml:space="preserve"> </t>
    </r>
    <r>
      <rPr>
        <sz val="10"/>
        <color indexed="8"/>
        <rFont val="Calibri"/>
        <family val="2"/>
      </rPr>
      <t>Enter avg. monthly data transfer "In" to instances from the Internet</t>
    </r>
  </si>
  <si>
    <r>
      <rPr>
        <b/>
        <sz val="10"/>
        <color indexed="53"/>
        <rFont val="Calibri"/>
        <family val="2"/>
      </rPr>
      <t>(7)</t>
    </r>
    <r>
      <rPr>
        <b/>
        <sz val="10"/>
        <color indexed="53"/>
        <rFont val="Calibri"/>
        <family val="2"/>
      </rPr>
      <t xml:space="preserve"> </t>
    </r>
    <r>
      <rPr>
        <sz val="10"/>
        <color indexed="8"/>
        <rFont val="Calibri"/>
        <family val="2"/>
      </rPr>
      <t>Enter avg. monthly data transfer "Out" from instances to the Internet</t>
    </r>
  </si>
  <si>
    <t xml:space="preserve">The number of instances used to meet minimum demand, categorized by Amazon EC2 instance type (Standard Small, Standard Large, Standard Extra Large, High Memory Double Extra Large, High Memory Quadruple Extra Large, High-CPU Medium, High-CPU Extra Large) </t>
  </si>
  <si>
    <t>The average percentage of time (each year) that baseline instances are utilized.</t>
  </si>
  <si>
    <t>Hours of baseline instance usage multiplied by hourly reserved instance price</t>
  </si>
  <si>
    <t>No. of Baseline Instances*</t>
  </si>
  <si>
    <t>Average Annual Usage of Baseline Instances*</t>
  </si>
  <si>
    <t>Definitions</t>
  </si>
  <si>
    <t>Go to "Main" tab to begin…</t>
  </si>
  <si>
    <t>(7)</t>
  </si>
  <si>
    <t>Total server hardware demand.  On the "Main" tab, users are asked to input the number of "baseline" and "peak" instances required to support their application(s).  The on-site tab converts these assumptions into EC2-equivalent server demand.  (i.e. servers with similar CPU, memory, and storage as existing Amazon EC2 instance types.  The co-location scenario assumes that the maximum server demand (baseline plus peak servers) will need to be purchased to meet demand.</t>
  </si>
  <si>
    <t>The server hardware demand.  On the "Main" tab, users are asked to input the number of "steady state" and "peak" instances required to support their application(s).  The on-site tab converts these assumptions into EC2-equivalent server demand.  (i.e. servers with similar CPU, memory, and storage as existing Amazon EC2 instance types.  The co-location scenario assumes that the maximum server demand (baseline plus peak servers) will need to be purchased to meet demand.</t>
  </si>
  <si>
    <r>
      <t xml:space="preserve">Amazon EC2 Cost Comparison Calculator.  </t>
    </r>
    <r>
      <rPr>
        <b/>
        <sz val="11"/>
        <color indexed="53"/>
        <rFont val="Constantia"/>
        <family val="1"/>
      </rPr>
      <t>Go to "Main" tab to begin…</t>
    </r>
  </si>
  <si>
    <t>Billable Hours of Instance Usage</t>
  </si>
  <si>
    <t>* Number of Baseline Instances x Average Annual Usage of Baseline Instances x  8,736 hours per year (24  hours x 7 days x 52 weeks)</t>
  </si>
  <si>
    <t>Hours of Peak Usage**</t>
  </si>
  <si>
    <t>** Number of Peak Instances x Average Annual Usage of Peak Instances x  8,736 hours per year (24  hours x 7 days x 52 weeks)</t>
  </si>
  <si>
    <t>Hours of Baseline Usage*</t>
  </si>
  <si>
    <t>Average Annual Usage of Baseline Instances (%)</t>
  </si>
  <si>
    <t>Hours of Baseline Instance Usage*</t>
  </si>
  <si>
    <t>* User Selected:</t>
  </si>
  <si>
    <r>
      <t>Hourly Price</t>
    </r>
    <r>
      <rPr>
        <sz val="10"/>
        <color indexed="8"/>
        <rFont val="Calibri"/>
        <family val="2"/>
      </rPr>
      <t>*</t>
    </r>
  </si>
  <si>
    <t>User Guide</t>
  </si>
  <si>
    <t>AWS Economics Center</t>
  </si>
  <si>
    <t>User Guide:  Amazon EC2 Cost Comparison Calculator</t>
  </si>
  <si>
    <t>Amazon EC2 Detail Page</t>
  </si>
  <si>
    <t>Go to http://aws.amazon.com/economics for the most current version.</t>
  </si>
  <si>
    <t>High-Memory Extra Large</t>
  </si>
  <si>
    <t>User inputs from "Main" tab</t>
  </si>
  <si>
    <t xml:space="preserve">The additional number of on-demand instances (above baseline) needed for peak demand  and utilized for less than 100% of the year, categorized by Amazon EC2 instance type (Standard Small, Standard Large, Standard Extra Large, High-Memory Extra Large, High-Memory Double Extra Large, High-Memory Quadruple Extra Large, High-CPU Medium, High-CPU Extra Large) </t>
  </si>
  <si>
    <t>The rack unit space occupied by Amazon EC2 equivalent servers, categorized by Amazon EC2-equivalent server type (Standard Small, Standard Large, Standard Extra Large, High-Memory Extra Large, High-Memory Double Extra Large, High-Memory Quadruple Extra Large, High-CPU Medium, High-CPU Extra Large)</t>
  </si>
  <si>
    <t>The amount of power (watts) used by servers, categorized by Amazon EC2-equivalent server type (Standard Small, Standard Large, Standard Extra Large, High-Memory Extra Large, High-Memory Double Extra Large, High-Memory Quadruple Extra Large, High-CPU Medium, High-CPU Extra Large)</t>
  </si>
  <si>
    <t>US East (N. Virginia) Region</t>
  </si>
  <si>
    <r>
      <rPr>
        <b/>
        <sz val="10"/>
        <color indexed="53"/>
        <rFont val="Calibri"/>
        <family val="2"/>
      </rPr>
      <t>(3)</t>
    </r>
    <r>
      <rPr>
        <b/>
        <sz val="10"/>
        <color indexed="53"/>
        <rFont val="Calibri"/>
        <family val="2"/>
      </rPr>
      <t xml:space="preserve"> </t>
    </r>
    <r>
      <rPr>
        <sz val="10"/>
        <color indexed="8"/>
        <rFont val="Calibri"/>
        <family val="2"/>
      </rPr>
      <t xml:space="preserve">Enter percentage of time each year </t>
    </r>
    <r>
      <rPr>
        <i/>
        <sz val="10"/>
        <color indexed="8"/>
        <rFont val="Calibri"/>
        <family val="2"/>
      </rPr>
      <t>baseline</t>
    </r>
    <r>
      <rPr>
        <sz val="10"/>
        <color indexed="8"/>
        <rFont val="Calibri"/>
        <family val="2"/>
      </rPr>
      <t xml:space="preserve"> instances are used (i.e. 75%)</t>
    </r>
  </si>
  <si>
    <r>
      <rPr>
        <b/>
        <sz val="10"/>
        <color indexed="53"/>
        <rFont val="Calibri"/>
        <family val="2"/>
      </rPr>
      <t>(4)</t>
    </r>
    <r>
      <rPr>
        <sz val="10"/>
        <color indexed="53"/>
        <rFont val="Calibri"/>
        <family val="2"/>
      </rPr>
      <t xml:space="preserve"> </t>
    </r>
    <r>
      <rPr>
        <sz val="10"/>
        <color indexed="8"/>
        <rFont val="Calibri"/>
        <family val="2"/>
      </rPr>
      <t>Enter additional number of peak instances (to meet maximum demand)</t>
    </r>
  </si>
  <si>
    <t>First 1 GB per month</t>
  </si>
  <si>
    <t>©Copyright 2011 Amazon Web Services, All Rights Reserved</t>
  </si>
  <si>
    <t>Up to 10 TB per Month</t>
  </si>
  <si>
    <t>US East (N. Virginia)</t>
  </si>
  <si>
    <r>
      <rPr>
        <b/>
        <sz val="10"/>
        <color indexed="53"/>
        <rFont val="Calibri"/>
        <family val="2"/>
      </rPr>
      <t xml:space="preserve">(1) </t>
    </r>
    <r>
      <rPr>
        <sz val="10"/>
        <color indexed="8"/>
        <rFont val="Calibri"/>
        <family val="2"/>
      </rPr>
      <t>Select operating system of instances</t>
    </r>
  </si>
  <si>
    <t>The following table enables the TCO comparison graph.</t>
  </si>
  <si>
    <t>©Copyright 2012 Amazon Web Services, All Rights Reserved</t>
  </si>
  <si>
    <t xml:space="preserve">© 2009-2012 Amazon.com, Inc., or its affiliates. This workbook and accompanying user guide is provided for informational purposes only. Amazon Web Services LLC is not responsible for any damages related to the information in these documents, which are provided “as is” without warranty of any kind, whether express, implied, or statutory. Nothing in this workbook or accompanying user guide creates any warranties or representations from Amazon Web Services LLC, its affiliates, suppliers, or licensors. This workbook and accompanying user guide do not modify the applicable terms and conditions governing your use of Amazon Web Services technologies, including the Amazon Web Services website. This workbook and accompanying user guide represents Amazon Web Services' current product offerings as of the date of issue and are subject to change without notice.
</t>
  </si>
  <si>
    <t>Light Utilization</t>
  </si>
  <si>
    <t>Medium Utilization</t>
  </si>
  <si>
    <t>Heavy Utilization</t>
  </si>
  <si>
    <t>Usage Fee (Linux/Unix)</t>
  </si>
  <si>
    <t>Usage Fee (Windows)</t>
  </si>
  <si>
    <t>One-Time Payment (Linux/Unix)</t>
  </si>
  <si>
    <t>One-Time Payment (Windows)</t>
  </si>
  <si>
    <t>1-Year</t>
  </si>
  <si>
    <t>3-Year*</t>
  </si>
  <si>
    <t>One-Time Expense (Light)</t>
  </si>
  <si>
    <t>One-Time Expense (Medium)</t>
  </si>
  <si>
    <t>One-Time Expense (Heavy)</t>
  </si>
  <si>
    <t>Annual Usage Expense (Light)</t>
  </si>
  <si>
    <t>Annual Usage Expense (Medium)</t>
  </si>
  <si>
    <t>3-Year</t>
  </si>
  <si>
    <t>Annual Usage Expense (Heavy)**</t>
  </si>
  <si>
    <t>** Heavy Utilization Reserved Instances charge Usage Fees for every hour in the Reserved Instance term you purchase</t>
  </si>
  <si>
    <t>d) Peak (On-Demand Instance) Usage Expense</t>
  </si>
  <si>
    <t>1.1d  On-demand Instance Usage</t>
  </si>
  <si>
    <t>Total Reserved Instance Expense</t>
  </si>
  <si>
    <t>1.1c  Total Reserved Instance Expense</t>
  </si>
  <si>
    <t>1.1d On-demand Instance Usage</t>
  </si>
  <si>
    <t>1.1c Total  Reserved Instance Expense</t>
  </si>
  <si>
    <t>Total Annual Expense (Light)</t>
  </si>
  <si>
    <t>Total Annual Expense (Medium)</t>
  </si>
  <si>
    <t>Total Annual Expense (Heavy)</t>
  </si>
  <si>
    <r>
      <t xml:space="preserve">Amazon EC2 (w/ 3 Year </t>
    </r>
    <r>
      <rPr>
        <sz val="9"/>
        <color indexed="8"/>
        <rFont val="Calibri"/>
        <family val="2"/>
      </rPr>
      <t>Reserved Instances)*</t>
    </r>
  </si>
  <si>
    <r>
      <t xml:space="preserve">Amazon EC2 (w/ 1 Year </t>
    </r>
    <r>
      <rPr>
        <sz val="9"/>
        <color indexed="8"/>
        <rFont val="Calibri"/>
        <family val="2"/>
      </rPr>
      <t>Reserved Instances)*</t>
    </r>
  </si>
  <si>
    <r>
      <t xml:space="preserve">Amazon EC2 can be purchased using several different pricing options:  1) </t>
    </r>
    <r>
      <rPr>
        <u val="single"/>
        <sz val="10"/>
        <color indexed="8"/>
        <rFont val="Calibri"/>
        <family val="2"/>
      </rPr>
      <t>On-demand Instances</t>
    </r>
    <r>
      <rPr>
        <sz val="10"/>
        <color indexed="8"/>
        <rFont val="Calibri"/>
        <family val="2"/>
      </rPr>
      <t xml:space="preserve">, 2) </t>
    </r>
    <r>
      <rPr>
        <u val="single"/>
        <sz val="10"/>
        <color indexed="8"/>
        <rFont val="Calibri"/>
        <family val="2"/>
      </rPr>
      <t>1 Year Reserved Instances*</t>
    </r>
    <r>
      <rPr>
        <sz val="10"/>
        <color indexed="8"/>
        <rFont val="Calibri"/>
        <family val="2"/>
      </rPr>
      <t xml:space="preserve">, 3) </t>
    </r>
    <r>
      <rPr>
        <u val="single"/>
        <sz val="10"/>
        <color indexed="8"/>
        <rFont val="Calibri"/>
        <family val="2"/>
      </rPr>
      <t>3 Year Reserved Instances*,</t>
    </r>
    <r>
      <rPr>
        <sz val="10"/>
        <color indexed="8"/>
        <rFont val="Calibri"/>
        <family val="2"/>
      </rPr>
      <t xml:space="preserve"> or d) </t>
    </r>
    <r>
      <rPr>
        <u val="single"/>
        <sz val="10"/>
        <color indexed="8"/>
        <rFont val="Calibri"/>
        <family val="2"/>
      </rPr>
      <t>Spot Instances**</t>
    </r>
  </si>
  <si>
    <t>*The Amazon EC2 Cost Comparsion Calculator choses the optimal Reserved Instance Type (Light, Medium Heavy) for the expected baseline utilization.</t>
  </si>
  <si>
    <t>** Spot Instances are not currently evaluted in the Amazon EC2 Cost Comparison Calculator.  To estimate cost of running Spot Instances, users can edit the On-Demand prices below.  See the User Guide for more information.</t>
  </si>
  <si>
    <t>This section calculates the cost of Amazon EC2 for scenarios where 1 Year and 3 Year Reserved Instances are purchased for baseline instance usage.  The total cost of reserved instances is calculated by summing a) the one-time initial reserve fees for baseline instances, b) the cost of baseline instance hour usage at reserved instance usage prices, and c) the cost of peak server usage at on-demand instance prices.</t>
  </si>
  <si>
    <t>Annual Expense with Reserved Instance Pricing</t>
  </si>
  <si>
    <t>Original:  December 7, 2009.  Updated: February 29, 2012</t>
  </si>
  <si>
    <t>* Amazon EC2 users can choose to pay on-demand instance usage charges, or to pay a one-time fee to “reserve” the right to run instances (for 1 or 3 years) at significantly reduced hourly rates.  The Amazon EC2 Cost Comparison Calculator assumes Reserved Instances will be used for "baseline" instance usage, and  On-Demand Instances will be used for "peak" instance usage. Reserved Instance types (Light, Medium, Heavy) are optimized based on the user-defined annual utilization of baseline instances.  (Note:  Spot Instances are not included in this analysis.)</t>
  </si>
  <si>
    <t>Chosen Reserved Instance (Lowest cost)</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</si>
</sst>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Red]\(&quot;$&quot;#,##0.0\)"/>
    <numFmt numFmtId="165" formatCode="&quot;Yes&quot;;&quot;Yes&quot;;&quot;No&quot;"/>
    <numFmt numFmtId="166" formatCode="&quot;True&quot;;&quot;True&quot;;&quot;False&quot;"/>
    <numFmt numFmtId="167" formatCode="&quot;On&quot;;&quot;On&quot;;&quot;Off&quot;"/>
    <numFmt numFmtId="168" formatCode="[$€-2]\ #,##0.00_);[Red]\([$€-2]\ #,##0.00\)"/>
    <numFmt numFmtId="169" formatCode="_(* #,##0.0_);_(* \(#,##0.0\);_(* &quot;-&quot;??_);_(@_)"/>
    <numFmt numFmtId="170" formatCode="_(* #,##0_);_(* \(#,##0\);_(* &quot;-&quot;??_);_(@_)"/>
    <numFmt numFmtId="171" formatCode="0.0000"/>
    <numFmt numFmtId="172" formatCode="0.000"/>
    <numFmt numFmtId="173" formatCode="0.0"/>
    <numFmt numFmtId="174" formatCode="#,##0.0"/>
    <numFmt numFmtId="175" formatCode="0.000000"/>
    <numFmt numFmtId="176" formatCode="0.00000"/>
    <numFmt numFmtId="177" formatCode="&quot;$&quot;#,##0.000_);[Red]\(&quot;$&quot;#,##0.000\)"/>
    <numFmt numFmtId="178" formatCode="#,##0.000"/>
    <numFmt numFmtId="179" formatCode="#,##0.0000"/>
    <numFmt numFmtId="180" formatCode="0.00000000"/>
    <numFmt numFmtId="181" formatCode="0.0000000"/>
    <numFmt numFmtId="182" formatCode="#,##0.00000"/>
    <numFmt numFmtId="183" formatCode="#,##0.000000"/>
    <numFmt numFmtId="184" formatCode="#,##0.0000000"/>
    <numFmt numFmtId="185" formatCode="#,##0.00000000"/>
    <numFmt numFmtId="186" formatCode="0.0%"/>
    <numFmt numFmtId="187" formatCode="0.000%"/>
    <numFmt numFmtId="188" formatCode="#,##0.000_);[Red]\(#,##0.000\)"/>
    <numFmt numFmtId="189" formatCode="#\ &quot;Years&quot;"/>
    <numFmt numFmtId="190" formatCode="#,##0.0_);[Red]\(#,##0.0\)"/>
    <numFmt numFmtId="191" formatCode="&quot;$&quot;#,##0_);[Red]\(&quot;$&quot;#,##0\)\ &quot;*&quot;"/>
    <numFmt numFmtId="192" formatCode="#\ &quot;:1&quot;"/>
    <numFmt numFmtId="193" formatCode="#\ &quot;: 1&quot;"/>
    <numFmt numFmtId="194" formatCode="#&quot;:1&quot;"/>
    <numFmt numFmtId="195" formatCode="#&quot;:1&quot;;#"/>
    <numFmt numFmtId="196" formatCode="#&quot;:1&quot;;#&quot;:1&quot;;0"/>
    <numFmt numFmtId="197" formatCode="#&quot;:1&quot;;#&quot;:1&quot;;#"/>
    <numFmt numFmtId="198" formatCode="&quot;$&quot;#,##0.0000_);[Red]\(&quot;$&quot;#,##0.0000\)"/>
    <numFmt numFmtId="199" formatCode="&quot;$&quot;#,##0"/>
    <numFmt numFmtId="200" formatCode="&quot;$&quot;#,##0.000"/>
  </numFmts>
  <fonts count="121">
    <font>
      <sz val="11"/>
      <color theme="1"/>
      <name val="Calibri"/>
      <family val="2"/>
    </font>
    <font>
      <sz val="11"/>
      <color indexed="8"/>
      <name val="Calibri"/>
      <family val="2"/>
    </font>
    <font>
      <vertAlign val="superscript"/>
      <sz val="10"/>
      <color indexed="8"/>
      <name val="Calibri"/>
      <family val="2"/>
    </font>
    <font>
      <b/>
      <sz val="10"/>
      <color indexed="56"/>
      <name val="Calibri"/>
      <family val="2"/>
    </font>
    <font>
      <b/>
      <u val="single"/>
      <sz val="10"/>
      <color indexed="56"/>
      <name val="Calibri"/>
      <family val="2"/>
    </font>
    <font>
      <sz val="10"/>
      <color indexed="8"/>
      <name val="Calibri"/>
      <family val="2"/>
    </font>
    <font>
      <b/>
      <sz val="10"/>
      <color indexed="53"/>
      <name val="Calibri"/>
      <family val="2"/>
    </font>
    <font>
      <u val="single"/>
      <sz val="10"/>
      <color indexed="8"/>
      <name val="Calibri"/>
      <family val="2"/>
    </font>
    <font>
      <i/>
      <sz val="10"/>
      <color indexed="8"/>
      <name val="Calibri"/>
      <family val="2"/>
    </font>
    <font>
      <sz val="11"/>
      <color indexed="8"/>
      <name val="Constantia"/>
      <family val="1"/>
    </font>
    <font>
      <i/>
      <sz val="11"/>
      <color indexed="8"/>
      <name val="Constantia"/>
      <family val="1"/>
    </font>
    <font>
      <b/>
      <sz val="11"/>
      <color indexed="53"/>
      <name val="Constantia"/>
      <family val="1"/>
    </font>
    <font>
      <sz val="10"/>
      <color indexed="53"/>
      <name val="Calibri"/>
      <family val="2"/>
    </font>
    <font>
      <b/>
      <sz val="10"/>
      <name val="Calibri"/>
      <family val="2"/>
    </font>
    <font>
      <sz val="9"/>
      <color indexed="8"/>
      <name val="Calibri"/>
      <family val="2"/>
    </font>
    <font>
      <sz val="8"/>
      <color indexed="8"/>
      <name val="Calibri"/>
      <family val="0"/>
    </font>
    <font>
      <sz val="7.55"/>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1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sz val="10"/>
      <color indexed="9"/>
      <name val="Calibri"/>
      <family val="2"/>
    </font>
    <font>
      <b/>
      <sz val="10"/>
      <color indexed="18"/>
      <name val="Calibri"/>
      <family val="2"/>
    </font>
    <font>
      <b/>
      <sz val="16"/>
      <color indexed="9"/>
      <name val="Calibri"/>
      <family val="2"/>
    </font>
    <font>
      <b/>
      <sz val="12"/>
      <color indexed="8"/>
      <name val="Calibri"/>
      <family val="2"/>
    </font>
    <font>
      <b/>
      <sz val="12"/>
      <color indexed="53"/>
      <name val="Calibri"/>
      <family val="2"/>
    </font>
    <font>
      <b/>
      <sz val="12"/>
      <color indexed="9"/>
      <name val="Calibri"/>
      <family val="2"/>
    </font>
    <font>
      <sz val="10"/>
      <color indexed="56"/>
      <name val="Calibri"/>
      <family val="2"/>
    </font>
    <font>
      <u val="single"/>
      <sz val="10"/>
      <color indexed="12"/>
      <name val="Calibri"/>
      <family val="2"/>
    </font>
    <font>
      <b/>
      <sz val="11"/>
      <color indexed="53"/>
      <name val="Calibri"/>
      <family val="2"/>
    </font>
    <font>
      <sz val="10"/>
      <name val="Calibri"/>
      <family val="2"/>
    </font>
    <font>
      <sz val="10"/>
      <color indexed="10"/>
      <name val="Calibri"/>
      <family val="2"/>
    </font>
    <font>
      <b/>
      <i/>
      <sz val="11"/>
      <color indexed="18"/>
      <name val="Calibri"/>
      <family val="2"/>
    </font>
    <font>
      <b/>
      <sz val="10"/>
      <color indexed="10"/>
      <name val="Calibri"/>
      <family val="2"/>
    </font>
    <font>
      <b/>
      <sz val="10"/>
      <color indexed="44"/>
      <name val="Calibri"/>
      <family val="2"/>
    </font>
    <font>
      <sz val="10"/>
      <color indexed="55"/>
      <name val="Calibri"/>
      <family val="2"/>
    </font>
    <font>
      <b/>
      <sz val="12"/>
      <color indexed="62"/>
      <name val="Calibri"/>
      <family val="2"/>
    </font>
    <font>
      <b/>
      <u val="single"/>
      <sz val="10"/>
      <color indexed="8"/>
      <name val="Calibri"/>
      <family val="2"/>
    </font>
    <font>
      <sz val="14"/>
      <color indexed="53"/>
      <name val="Calibri"/>
      <family val="2"/>
    </font>
    <font>
      <b/>
      <i/>
      <sz val="10"/>
      <color indexed="8"/>
      <name val="Calibri"/>
      <family val="2"/>
    </font>
    <font>
      <b/>
      <i/>
      <sz val="10"/>
      <color indexed="53"/>
      <name val="Calibri"/>
      <family val="2"/>
    </font>
    <font>
      <b/>
      <sz val="16"/>
      <color indexed="53"/>
      <name val="Calibri"/>
      <family val="2"/>
    </font>
    <font>
      <b/>
      <sz val="16"/>
      <color indexed="18"/>
      <name val="Calibri"/>
      <family val="2"/>
    </font>
    <font>
      <sz val="10"/>
      <color indexed="18"/>
      <name val="Calibri"/>
      <family val="2"/>
    </font>
    <font>
      <i/>
      <sz val="8"/>
      <color indexed="8"/>
      <name val="Calibri"/>
      <family val="2"/>
    </font>
    <font>
      <b/>
      <sz val="10"/>
      <color indexed="9"/>
      <name val="Calibri"/>
      <family val="2"/>
    </font>
    <font>
      <b/>
      <i/>
      <sz val="9"/>
      <color indexed="8"/>
      <name val="Calibri"/>
      <family val="2"/>
    </font>
    <font>
      <b/>
      <sz val="20"/>
      <color indexed="18"/>
      <name val="Calibri"/>
      <family val="2"/>
    </font>
    <font>
      <u val="single"/>
      <sz val="9"/>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rgb="FF0000F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i/>
      <sz val="10"/>
      <color theme="1"/>
      <name val="Calibri"/>
      <family val="2"/>
    </font>
    <font>
      <sz val="10"/>
      <color theme="0"/>
      <name val="Calibri"/>
      <family val="2"/>
    </font>
    <font>
      <u val="single"/>
      <sz val="10"/>
      <color theme="1"/>
      <name val="Calibri"/>
      <family val="2"/>
    </font>
    <font>
      <sz val="9"/>
      <color theme="1"/>
      <name val="Calibri"/>
      <family val="2"/>
    </font>
    <font>
      <b/>
      <sz val="10"/>
      <color theme="3" tint="-0.24997000396251678"/>
      <name val="Calibri"/>
      <family val="2"/>
    </font>
    <font>
      <b/>
      <sz val="16"/>
      <color theme="0"/>
      <name val="Calibri"/>
      <family val="2"/>
    </font>
    <font>
      <b/>
      <sz val="12"/>
      <color theme="1"/>
      <name val="Calibri"/>
      <family val="2"/>
    </font>
    <font>
      <b/>
      <sz val="12"/>
      <color theme="9" tint="-0.24997000396251678"/>
      <name val="Calibri"/>
      <family val="2"/>
    </font>
    <font>
      <b/>
      <sz val="12"/>
      <color theme="0"/>
      <name val="Calibri"/>
      <family val="2"/>
    </font>
    <font>
      <b/>
      <sz val="10"/>
      <color theme="3" tint="-0.4999699890613556"/>
      <name val="Calibri"/>
      <family val="2"/>
    </font>
    <font>
      <sz val="10"/>
      <color theme="3" tint="-0.4999699890613556"/>
      <name val="Calibri"/>
      <family val="2"/>
    </font>
    <font>
      <u val="single"/>
      <sz val="10"/>
      <color theme="10"/>
      <name val="Calibri"/>
      <family val="2"/>
    </font>
    <font>
      <b/>
      <sz val="11"/>
      <color theme="9" tint="-0.24997000396251678"/>
      <name val="Calibri"/>
      <family val="2"/>
    </font>
    <font>
      <b/>
      <sz val="10"/>
      <color theme="9" tint="-0.24997000396251678"/>
      <name val="Calibri"/>
      <family val="2"/>
    </font>
    <font>
      <b/>
      <sz val="10"/>
      <color theme="3"/>
      <name val="Calibri"/>
      <family val="2"/>
    </font>
    <font>
      <sz val="10"/>
      <color rgb="FFFF0000"/>
      <name val="Calibri"/>
      <family val="2"/>
    </font>
    <font>
      <b/>
      <i/>
      <sz val="11"/>
      <color theme="4" tint="-0.4999699890613556"/>
      <name val="Calibri"/>
      <family val="2"/>
    </font>
    <font>
      <b/>
      <sz val="10"/>
      <color rgb="FFFF0000"/>
      <name val="Calibri"/>
      <family val="2"/>
    </font>
    <font>
      <b/>
      <sz val="10"/>
      <color theme="4" tint="-0.4999699890613556"/>
      <name val="Calibri"/>
      <family val="2"/>
    </font>
    <font>
      <b/>
      <sz val="10"/>
      <color theme="4" tint="0.5999900102615356"/>
      <name val="Calibri"/>
      <family val="2"/>
    </font>
    <font>
      <b/>
      <sz val="10"/>
      <color theme="9"/>
      <name val="Calibri"/>
      <family val="2"/>
    </font>
    <font>
      <sz val="10"/>
      <color theme="0" tint="-0.24997000396251678"/>
      <name val="Calibri"/>
      <family val="2"/>
    </font>
    <font>
      <b/>
      <sz val="12"/>
      <color theme="4" tint="-0.24997000396251678"/>
      <name val="Calibri"/>
      <family val="2"/>
    </font>
    <font>
      <b/>
      <u val="single"/>
      <sz val="10"/>
      <color theme="1"/>
      <name val="Calibri"/>
      <family val="2"/>
    </font>
    <font>
      <sz val="14"/>
      <color theme="9" tint="-0.24997000396251678"/>
      <name val="Calibri"/>
      <family val="2"/>
    </font>
    <font>
      <b/>
      <i/>
      <sz val="10"/>
      <color theme="1"/>
      <name val="Calibri"/>
      <family val="2"/>
    </font>
    <font>
      <b/>
      <i/>
      <sz val="10"/>
      <color theme="9" tint="-0.24997000396251678"/>
      <name val="Calibri"/>
      <family val="2"/>
    </font>
    <font>
      <sz val="11"/>
      <color theme="1"/>
      <name val="Constantia"/>
      <family val="1"/>
    </font>
    <font>
      <b/>
      <sz val="16"/>
      <color theme="9" tint="-0.24997000396251678"/>
      <name val="Calibri"/>
      <family val="2"/>
    </font>
    <font>
      <b/>
      <sz val="16"/>
      <color theme="4" tint="-0.4999699890613556"/>
      <name val="Calibri"/>
      <family val="2"/>
    </font>
    <font>
      <sz val="10"/>
      <color theme="4" tint="-0.4999699890613556"/>
      <name val="Calibri"/>
      <family val="2"/>
    </font>
    <font>
      <i/>
      <sz val="8"/>
      <color theme="1"/>
      <name val="Calibri"/>
      <family val="2"/>
    </font>
    <font>
      <b/>
      <sz val="10"/>
      <color theme="0"/>
      <name val="Calibri"/>
      <family val="2"/>
    </font>
    <font>
      <b/>
      <i/>
      <sz val="9"/>
      <color theme="1"/>
      <name val="Calibri"/>
      <family val="2"/>
    </font>
    <font>
      <b/>
      <sz val="20"/>
      <color theme="4" tint="-0.4999699890613556"/>
      <name val="Calibri"/>
      <family val="2"/>
    </font>
    <font>
      <u val="single"/>
      <sz val="9"/>
      <color rgb="FFFF0000"/>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4999699890613556"/>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thin"/>
    </border>
    <border>
      <left style="thick"/>
      <right>
        <color indexed="63"/>
      </right>
      <top>
        <color indexed="63"/>
      </top>
      <bottom>
        <color indexed="63"/>
      </bottom>
    </border>
    <border>
      <left style="mediumDashed">
        <color theme="0" tint="-0.24993999302387238"/>
      </left>
      <right>
        <color indexed="63"/>
      </right>
      <top style="mediumDashed">
        <color theme="0" tint="-0.24993999302387238"/>
      </top>
      <bottom>
        <color indexed="63"/>
      </bottom>
    </border>
    <border>
      <left>
        <color indexed="63"/>
      </left>
      <right>
        <color indexed="63"/>
      </right>
      <top style="mediumDashed">
        <color theme="0" tint="-0.24993999302387238"/>
      </top>
      <bottom>
        <color indexed="63"/>
      </bottom>
    </border>
    <border>
      <left>
        <color indexed="63"/>
      </left>
      <right style="mediumDashed">
        <color theme="0" tint="-0.24993999302387238"/>
      </right>
      <top style="mediumDashed">
        <color theme="0" tint="-0.24993999302387238"/>
      </top>
      <bottom>
        <color indexed="63"/>
      </bottom>
    </border>
    <border>
      <left style="mediumDashed">
        <color theme="0" tint="-0.24993999302387238"/>
      </left>
      <right>
        <color indexed="63"/>
      </right>
      <top>
        <color indexed="63"/>
      </top>
      <bottom>
        <color indexed="63"/>
      </bottom>
    </border>
    <border>
      <left>
        <color indexed="63"/>
      </left>
      <right style="mediumDashed">
        <color theme="0" tint="-0.24993999302387238"/>
      </right>
      <top>
        <color indexed="63"/>
      </top>
      <bottom>
        <color indexed="63"/>
      </bottom>
    </border>
    <border>
      <left style="mediumDashed">
        <color theme="0" tint="-0.24993999302387238"/>
      </left>
      <right>
        <color indexed="63"/>
      </right>
      <top>
        <color indexed="63"/>
      </top>
      <bottom style="mediumDashed">
        <color theme="0" tint="-0.24993999302387238"/>
      </bottom>
    </border>
    <border>
      <left>
        <color indexed="63"/>
      </left>
      <right>
        <color indexed="63"/>
      </right>
      <top>
        <color indexed="63"/>
      </top>
      <bottom style="mediumDashed">
        <color theme="0" tint="-0.24993999302387238"/>
      </bottom>
    </border>
    <border>
      <left>
        <color indexed="63"/>
      </left>
      <right style="mediumDashed">
        <color theme="0" tint="-0.24993999302387238"/>
      </right>
      <top>
        <color indexed="63"/>
      </top>
      <bottom style="mediumDashed">
        <color theme="0" tint="-0.2499399930238723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color indexed="63"/>
      </top>
      <bottom>
        <color indexed="63"/>
      </bottom>
    </border>
    <border>
      <left style="medium"/>
      <right style="medium"/>
      <top>
        <color indexed="63"/>
      </top>
      <bottom style="medium"/>
    </border>
    <border>
      <left>
        <color indexed="63"/>
      </left>
      <right style="thick"/>
      <top>
        <color indexed="63"/>
      </top>
      <bottom>
        <color indexed="63"/>
      </botto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468">
    <xf numFmtId="0" fontId="0" fillId="0" borderId="0" xfId="0" applyFont="1" applyAlignment="1">
      <alignment/>
    </xf>
    <xf numFmtId="0" fontId="82" fillId="0" borderId="0" xfId="0" applyFont="1" applyAlignment="1">
      <alignment/>
    </xf>
    <xf numFmtId="0" fontId="82" fillId="0" borderId="10" xfId="0" applyFont="1" applyBorder="1" applyAlignment="1">
      <alignment/>
    </xf>
    <xf numFmtId="0" fontId="83" fillId="0" borderId="0" xfId="0" applyFont="1" applyBorder="1" applyAlignment="1">
      <alignment horizontal="left" wrapText="1"/>
    </xf>
    <xf numFmtId="0" fontId="82" fillId="0" borderId="0" xfId="0" applyFont="1" applyBorder="1" applyAlignment="1">
      <alignment/>
    </xf>
    <xf numFmtId="0" fontId="82" fillId="0" borderId="11" xfId="0" applyFont="1" applyBorder="1" applyAlignment="1">
      <alignment/>
    </xf>
    <xf numFmtId="3" fontId="82" fillId="0" borderId="0" xfId="0" applyNumberFormat="1" applyFont="1" applyFill="1" applyBorder="1" applyAlignment="1">
      <alignment horizontal="center"/>
    </xf>
    <xf numFmtId="0" fontId="82" fillId="0" borderId="0" xfId="0" applyFont="1" applyBorder="1" applyAlignment="1">
      <alignment horizontal="center"/>
    </xf>
    <xf numFmtId="6" fontId="82" fillId="0" borderId="0" xfId="0" applyNumberFormat="1" applyFont="1" applyBorder="1" applyAlignment="1">
      <alignment horizontal="center"/>
    </xf>
    <xf numFmtId="0" fontId="82" fillId="0" borderId="12" xfId="0" applyFont="1" applyBorder="1" applyAlignment="1">
      <alignment/>
    </xf>
    <xf numFmtId="9" fontId="82" fillId="0" borderId="0" xfId="0" applyNumberFormat="1" applyFont="1" applyFill="1" applyBorder="1" applyAlignment="1">
      <alignment horizontal="center"/>
    </xf>
    <xf numFmtId="0" fontId="83" fillId="0" borderId="0" xfId="0" applyFont="1" applyBorder="1" applyAlignment="1">
      <alignment/>
    </xf>
    <xf numFmtId="8" fontId="82" fillId="0" borderId="0" xfId="0" applyNumberFormat="1" applyFont="1" applyFill="1" applyBorder="1" applyAlignment="1">
      <alignment horizontal="center"/>
    </xf>
    <xf numFmtId="6" fontId="82" fillId="0" borderId="0" xfId="0" applyNumberFormat="1" applyFont="1" applyFill="1" applyBorder="1" applyAlignment="1">
      <alignment horizontal="center"/>
    </xf>
    <xf numFmtId="0" fontId="82" fillId="0" borderId="0" xfId="0" applyFont="1" applyFill="1" applyBorder="1" applyAlignment="1">
      <alignment/>
    </xf>
    <xf numFmtId="0" fontId="82" fillId="0" borderId="13" xfId="0" applyFont="1" applyBorder="1" applyAlignment="1">
      <alignment horizontal="center"/>
    </xf>
    <xf numFmtId="0" fontId="82" fillId="0" borderId="0" xfId="0" applyFont="1" applyFill="1" applyBorder="1" applyAlignment="1">
      <alignment horizontal="center"/>
    </xf>
    <xf numFmtId="0" fontId="82" fillId="0" borderId="0" xfId="0" applyFont="1" applyFill="1" applyBorder="1" applyAlignment="1">
      <alignment/>
    </xf>
    <xf numFmtId="0" fontId="82" fillId="0" borderId="0" xfId="0" applyFont="1" applyBorder="1" applyAlignment="1">
      <alignment horizontal="right"/>
    </xf>
    <xf numFmtId="0" fontId="82" fillId="0" borderId="0" xfId="0" applyFont="1" applyFill="1" applyAlignment="1">
      <alignment/>
    </xf>
    <xf numFmtId="0" fontId="82" fillId="0" borderId="14" xfId="0" applyFont="1" applyBorder="1" applyAlignment="1">
      <alignment/>
    </xf>
    <xf numFmtId="0" fontId="82" fillId="0" borderId="15" xfId="0" applyFont="1" applyBorder="1" applyAlignment="1">
      <alignment/>
    </xf>
    <xf numFmtId="9" fontId="82" fillId="0" borderId="0" xfId="0" applyNumberFormat="1" applyFont="1" applyBorder="1" applyAlignment="1">
      <alignment horizontal="center"/>
    </xf>
    <xf numFmtId="9" fontId="83" fillId="0" borderId="0" xfId="0" applyNumberFormat="1" applyFont="1" applyFill="1" applyBorder="1" applyAlignment="1">
      <alignment horizontal="center"/>
    </xf>
    <xf numFmtId="8" fontId="82" fillId="0" borderId="0" xfId="0" applyNumberFormat="1" applyFont="1" applyBorder="1" applyAlignment="1">
      <alignment horizontal="center"/>
    </xf>
    <xf numFmtId="174" fontId="82" fillId="0" borderId="0" xfId="0" applyNumberFormat="1" applyFont="1" applyFill="1" applyBorder="1" applyAlignment="1">
      <alignment horizontal="center"/>
    </xf>
    <xf numFmtId="0" fontId="82" fillId="0" borderId="0" xfId="0" applyFont="1" applyFill="1" applyAlignment="1">
      <alignment horizontal="center"/>
    </xf>
    <xf numFmtId="0" fontId="83" fillId="0" borderId="0" xfId="0" applyFont="1" applyFill="1" applyBorder="1" applyAlignment="1">
      <alignment/>
    </xf>
    <xf numFmtId="0" fontId="84" fillId="0" borderId="0" xfId="0" applyFont="1" applyBorder="1" applyAlignment="1">
      <alignment/>
    </xf>
    <xf numFmtId="0" fontId="84" fillId="0" borderId="0" xfId="0" applyFont="1" applyFill="1" applyBorder="1" applyAlignment="1">
      <alignment/>
    </xf>
    <xf numFmtId="0" fontId="82" fillId="0" borderId="10" xfId="0" applyFont="1" applyBorder="1" applyAlignment="1">
      <alignment horizontal="center"/>
    </xf>
    <xf numFmtId="0" fontId="82" fillId="0" borderId="15" xfId="0" applyFont="1" applyBorder="1" applyAlignment="1">
      <alignment horizontal="center"/>
    </xf>
    <xf numFmtId="9" fontId="83" fillId="0" borderId="0" xfId="0" applyNumberFormat="1" applyFont="1" applyFill="1" applyBorder="1" applyAlignment="1">
      <alignment horizontal="center" wrapText="1"/>
    </xf>
    <xf numFmtId="0" fontId="82" fillId="0" borderId="15" xfId="0" applyFont="1" applyFill="1" applyBorder="1" applyAlignment="1">
      <alignment horizontal="center"/>
    </xf>
    <xf numFmtId="6" fontId="82" fillId="0" borderId="13" xfId="0" applyNumberFormat="1" applyFont="1" applyFill="1" applyBorder="1" applyAlignment="1">
      <alignment horizontal="center"/>
    </xf>
    <xf numFmtId="6" fontId="83" fillId="0" borderId="0" xfId="0" applyNumberFormat="1" applyFont="1" applyFill="1" applyBorder="1" applyAlignment="1">
      <alignment horizontal="center"/>
    </xf>
    <xf numFmtId="6" fontId="83" fillId="0" borderId="0" xfId="0" applyNumberFormat="1" applyFont="1" applyBorder="1" applyAlignment="1">
      <alignment horizontal="center"/>
    </xf>
    <xf numFmtId="8" fontId="85" fillId="33" borderId="0" xfId="0" applyNumberFormat="1" applyFont="1" applyFill="1" applyBorder="1" applyAlignment="1">
      <alignment horizontal="center"/>
    </xf>
    <xf numFmtId="0" fontId="85" fillId="33" borderId="0" xfId="0" applyFont="1" applyFill="1" applyBorder="1" applyAlignment="1">
      <alignment horizontal="center"/>
    </xf>
    <xf numFmtId="0" fontId="85" fillId="33" borderId="0" xfId="0" applyFont="1" applyFill="1" applyBorder="1" applyAlignment="1">
      <alignment/>
    </xf>
    <xf numFmtId="0" fontId="83" fillId="0" borderId="0" xfId="0" applyFont="1" applyFill="1" applyBorder="1" applyAlignment="1">
      <alignment horizontal="center"/>
    </xf>
    <xf numFmtId="0" fontId="82" fillId="0" borderId="0" xfId="0" applyFont="1" applyBorder="1" applyAlignment="1">
      <alignment horizontal="left"/>
    </xf>
    <xf numFmtId="0" fontId="82" fillId="0" borderId="0" xfId="0" applyFont="1" applyFill="1" applyBorder="1" applyAlignment="1">
      <alignment horizontal="center" wrapText="1"/>
    </xf>
    <xf numFmtId="9" fontId="82" fillId="0" borderId="0" xfId="0" applyNumberFormat="1" applyFont="1" applyFill="1" applyBorder="1" applyAlignment="1">
      <alignment horizontal="left"/>
    </xf>
    <xf numFmtId="3" fontId="82" fillId="0" borderId="13" xfId="0" applyNumberFormat="1" applyFont="1" applyFill="1" applyBorder="1" applyAlignment="1">
      <alignment horizontal="center"/>
    </xf>
    <xf numFmtId="3" fontId="82" fillId="0" borderId="0" xfId="0" applyNumberFormat="1" applyFont="1" applyFill="1" applyBorder="1" applyAlignment="1">
      <alignment horizontal="center" wrapText="1"/>
    </xf>
    <xf numFmtId="3" fontId="83" fillId="0" borderId="0" xfId="0" applyNumberFormat="1" applyFont="1" applyFill="1" applyBorder="1" applyAlignment="1">
      <alignment horizontal="center" wrapText="1"/>
    </xf>
    <xf numFmtId="0" fontId="83" fillId="0" borderId="0" xfId="0" applyFont="1" applyBorder="1" applyAlignment="1">
      <alignment horizontal="center" wrapText="1"/>
    </xf>
    <xf numFmtId="0" fontId="83" fillId="0" borderId="0" xfId="0" applyFont="1" applyFill="1" applyBorder="1" applyAlignment="1">
      <alignment horizontal="center" wrapText="1"/>
    </xf>
    <xf numFmtId="0" fontId="83" fillId="0" borderId="0" xfId="0" applyFont="1" applyBorder="1" applyAlignment="1">
      <alignment horizontal="left"/>
    </xf>
    <xf numFmtId="3" fontId="82" fillId="0" borderId="0" xfId="0" applyNumberFormat="1" applyFont="1" applyFill="1" applyBorder="1" applyAlignment="1">
      <alignment horizontal="left"/>
    </xf>
    <xf numFmtId="0" fontId="82" fillId="0" borderId="16" xfId="0" applyFont="1" applyBorder="1" applyAlignment="1">
      <alignment horizontal="center"/>
    </xf>
    <xf numFmtId="0" fontId="82" fillId="0" borderId="12" xfId="0" applyFont="1" applyBorder="1" applyAlignment="1">
      <alignment horizontal="center"/>
    </xf>
    <xf numFmtId="3" fontId="82" fillId="0" borderId="12" xfId="0" applyNumberFormat="1" applyFont="1" applyFill="1" applyBorder="1" applyAlignment="1">
      <alignment horizontal="center"/>
    </xf>
    <xf numFmtId="0" fontId="82" fillId="0" borderId="12" xfId="0" applyFont="1" applyFill="1" applyBorder="1" applyAlignment="1">
      <alignment/>
    </xf>
    <xf numFmtId="0" fontId="82" fillId="0" borderId="17" xfId="0" applyFont="1" applyBorder="1" applyAlignment="1">
      <alignment horizontal="center"/>
    </xf>
    <xf numFmtId="0" fontId="85" fillId="0" borderId="0" xfId="0" applyFont="1" applyFill="1" applyBorder="1" applyAlignment="1">
      <alignment horizontal="center"/>
    </xf>
    <xf numFmtId="0" fontId="82" fillId="0" borderId="0" xfId="0" applyFont="1" applyFill="1" applyBorder="1" applyAlignment="1">
      <alignment horizontal="left"/>
    </xf>
    <xf numFmtId="3" fontId="82" fillId="0" borderId="0" xfId="0" applyNumberFormat="1" applyFont="1" applyBorder="1" applyAlignment="1">
      <alignment horizontal="center"/>
    </xf>
    <xf numFmtId="3" fontId="82" fillId="0" borderId="13" xfId="0" applyNumberFormat="1" applyFont="1" applyFill="1" applyBorder="1" applyAlignment="1">
      <alignment horizontal="center" wrapText="1"/>
    </xf>
    <xf numFmtId="0" fontId="82" fillId="0" borderId="13" xfId="0" applyFont="1" applyBorder="1" applyAlignment="1">
      <alignment horizontal="center" wrapText="1"/>
    </xf>
    <xf numFmtId="9" fontId="82" fillId="0" borderId="13" xfId="0" applyNumberFormat="1" applyFont="1" applyBorder="1" applyAlignment="1">
      <alignment horizontal="center" wrapText="1"/>
    </xf>
    <xf numFmtId="0" fontId="0" fillId="0" borderId="0" xfId="0" applyAlignment="1">
      <alignment vertical="top" wrapText="1"/>
    </xf>
    <xf numFmtId="0" fontId="83" fillId="0" borderId="0" xfId="0" applyFont="1" applyFill="1" applyBorder="1" applyAlignment="1">
      <alignment horizontal="left" indent="4"/>
    </xf>
    <xf numFmtId="0" fontId="82" fillId="0" borderId="13" xfId="0" applyFont="1" applyFill="1" applyBorder="1" applyAlignment="1">
      <alignment horizontal="center" wrapText="1"/>
    </xf>
    <xf numFmtId="0" fontId="86" fillId="0" borderId="0" xfId="0" applyFont="1" applyBorder="1" applyAlignment="1">
      <alignment horizontal="center"/>
    </xf>
    <xf numFmtId="0" fontId="87" fillId="0" borderId="0" xfId="0" applyFont="1" applyFill="1" applyBorder="1" applyAlignment="1">
      <alignment horizontal="center"/>
    </xf>
    <xf numFmtId="0" fontId="82" fillId="0" borderId="18" xfId="0" applyFont="1" applyBorder="1" applyAlignment="1">
      <alignment/>
    </xf>
    <xf numFmtId="8" fontId="82" fillId="0" borderId="0" xfId="0" applyNumberFormat="1" applyFont="1" applyBorder="1" applyAlignment="1">
      <alignment horizontal="left"/>
    </xf>
    <xf numFmtId="3" fontId="82" fillId="0" borderId="0" xfId="0" applyNumberFormat="1" applyFont="1" applyBorder="1" applyAlignment="1">
      <alignment horizontal="left"/>
    </xf>
    <xf numFmtId="0" fontId="83" fillId="0" borderId="10" xfId="0" applyFont="1" applyBorder="1" applyAlignment="1">
      <alignment horizontal="left" wrapText="1"/>
    </xf>
    <xf numFmtId="3" fontId="82" fillId="0" borderId="15" xfId="0" applyNumberFormat="1" applyFont="1" applyFill="1" applyBorder="1" applyAlignment="1">
      <alignment horizontal="center"/>
    </xf>
    <xf numFmtId="9" fontId="82" fillId="0" borderId="15" xfId="0" applyNumberFormat="1" applyFont="1" applyFill="1" applyBorder="1" applyAlignment="1">
      <alignment horizontal="center"/>
    </xf>
    <xf numFmtId="0" fontId="82" fillId="0" borderId="15" xfId="0" applyFont="1" applyFill="1" applyBorder="1" applyAlignment="1">
      <alignment/>
    </xf>
    <xf numFmtId="6" fontId="82" fillId="0" borderId="15" xfId="0" applyNumberFormat="1" applyFont="1" applyFill="1" applyBorder="1" applyAlignment="1">
      <alignment horizontal="center"/>
    </xf>
    <xf numFmtId="3" fontId="82" fillId="0" borderId="17" xfId="0" applyNumberFormat="1" applyFont="1" applyFill="1" applyBorder="1" applyAlignment="1">
      <alignment horizontal="center"/>
    </xf>
    <xf numFmtId="0" fontId="84" fillId="0" borderId="0" xfId="0" applyFont="1" applyBorder="1" applyAlignment="1">
      <alignment horizontal="left" wrapText="1"/>
    </xf>
    <xf numFmtId="8" fontId="82" fillId="0" borderId="15" xfId="0" applyNumberFormat="1" applyFont="1" applyBorder="1" applyAlignment="1">
      <alignment horizontal="center"/>
    </xf>
    <xf numFmtId="3" fontId="83" fillId="0" borderId="0" xfId="0" applyNumberFormat="1" applyFont="1" applyFill="1" applyBorder="1" applyAlignment="1">
      <alignment horizontal="center"/>
    </xf>
    <xf numFmtId="6" fontId="82" fillId="0" borderId="19" xfId="0" applyNumberFormat="1" applyFont="1" applyBorder="1" applyAlignment="1">
      <alignment horizontal="center"/>
    </xf>
    <xf numFmtId="0" fontId="86" fillId="0" borderId="0" xfId="0" applyFont="1" applyBorder="1" applyAlignment="1">
      <alignment/>
    </xf>
    <xf numFmtId="0" fontId="82" fillId="0" borderId="20" xfId="0" applyFont="1" applyBorder="1" applyAlignment="1">
      <alignment horizontal="right"/>
    </xf>
    <xf numFmtId="0" fontId="82" fillId="0" borderId="21" xfId="0" applyFont="1" applyBorder="1" applyAlignment="1">
      <alignment horizontal="center"/>
    </xf>
    <xf numFmtId="0" fontId="82" fillId="0" borderId="22" xfId="0" applyFont="1" applyFill="1" applyBorder="1" applyAlignment="1">
      <alignment horizontal="right"/>
    </xf>
    <xf numFmtId="6" fontId="83" fillId="0" borderId="0" xfId="0" applyNumberFormat="1" applyFont="1" applyBorder="1" applyAlignment="1">
      <alignment horizontal="center" wrapText="1"/>
    </xf>
    <xf numFmtId="6" fontId="82" fillId="0" borderId="0" xfId="0" applyNumberFormat="1" applyFont="1" applyBorder="1" applyAlignment="1">
      <alignment horizontal="center" wrapText="1"/>
    </xf>
    <xf numFmtId="6" fontId="82" fillId="0" borderId="13" xfId="0" applyNumberFormat="1" applyFont="1" applyBorder="1" applyAlignment="1">
      <alignment horizontal="center" wrapText="1"/>
    </xf>
    <xf numFmtId="0" fontId="88" fillId="0" borderId="0" xfId="0" applyFont="1" applyBorder="1" applyAlignment="1">
      <alignment horizontal="left"/>
    </xf>
    <xf numFmtId="0" fontId="89" fillId="33" borderId="0" xfId="0" applyFont="1" applyFill="1" applyBorder="1" applyAlignment="1">
      <alignment horizontal="left"/>
    </xf>
    <xf numFmtId="0" fontId="83" fillId="0" borderId="0" xfId="0" applyFont="1" applyBorder="1" applyAlignment="1">
      <alignment horizontal="center"/>
    </xf>
    <xf numFmtId="0" fontId="82" fillId="0" borderId="0" xfId="0" applyFont="1" applyFill="1" applyBorder="1" applyAlignment="1" quotePrefix="1">
      <alignment/>
    </xf>
    <xf numFmtId="0" fontId="82" fillId="0" borderId="0" xfId="0" applyFont="1" applyBorder="1" applyAlignment="1">
      <alignment horizontal="left" indent="1"/>
    </xf>
    <xf numFmtId="0" fontId="90" fillId="0" borderId="0" xfId="0" applyFont="1" applyBorder="1" applyAlignment="1">
      <alignment/>
    </xf>
    <xf numFmtId="0" fontId="83" fillId="0" borderId="0" xfId="0" applyFont="1" applyBorder="1" applyAlignment="1">
      <alignment horizontal="left" indent="1"/>
    </xf>
    <xf numFmtId="9" fontId="83" fillId="0" borderId="0" xfId="0" applyNumberFormat="1" applyFont="1" applyFill="1" applyBorder="1" applyAlignment="1">
      <alignment horizontal="left"/>
    </xf>
    <xf numFmtId="0" fontId="82" fillId="0" borderId="23" xfId="0" applyFont="1" applyBorder="1" applyAlignment="1">
      <alignment/>
    </xf>
    <xf numFmtId="0" fontId="82" fillId="0" borderId="22" xfId="0" applyFont="1" applyBorder="1" applyAlignment="1">
      <alignment horizontal="left" indent="1"/>
    </xf>
    <xf numFmtId="6" fontId="82" fillId="0" borderId="24" xfId="0" applyNumberFormat="1" applyFont="1" applyBorder="1" applyAlignment="1">
      <alignment horizontal="center"/>
    </xf>
    <xf numFmtId="0" fontId="82" fillId="0" borderId="25" xfId="0" applyFont="1" applyBorder="1" applyAlignment="1">
      <alignment horizontal="left" indent="1"/>
    </xf>
    <xf numFmtId="0" fontId="82" fillId="0" borderId="13" xfId="0" applyFont="1" applyFill="1" applyBorder="1" applyAlignment="1">
      <alignment horizontal="center"/>
    </xf>
    <xf numFmtId="0" fontId="82" fillId="0" borderId="13" xfId="0" applyFont="1" applyFill="1" applyBorder="1" applyAlignment="1">
      <alignment/>
    </xf>
    <xf numFmtId="0" fontId="82" fillId="0" borderId="13" xfId="0" applyFont="1" applyBorder="1" applyAlignment="1">
      <alignment/>
    </xf>
    <xf numFmtId="9" fontId="82" fillId="0" borderId="13" xfId="0" applyNumberFormat="1" applyFont="1" applyBorder="1" applyAlignment="1">
      <alignment horizontal="center"/>
    </xf>
    <xf numFmtId="0" fontId="91" fillId="0" borderId="0" xfId="0" applyFont="1" applyBorder="1" applyAlignment="1">
      <alignment horizontal="left" indent="19"/>
    </xf>
    <xf numFmtId="0" fontId="92" fillId="33" borderId="0" xfId="0" applyFont="1" applyFill="1" applyBorder="1" applyAlignment="1">
      <alignment horizontal="left" indent="1"/>
    </xf>
    <xf numFmtId="0" fontId="93" fillId="0" borderId="0" xfId="0" applyFont="1" applyBorder="1" applyAlignment="1">
      <alignment horizontal="left" indent="1"/>
    </xf>
    <xf numFmtId="0" fontId="94" fillId="0" borderId="0" xfId="0" applyFont="1" applyBorder="1" applyAlignment="1">
      <alignment horizontal="left"/>
    </xf>
    <xf numFmtId="0" fontId="82" fillId="0" borderId="24" xfId="0" applyFont="1" applyBorder="1" applyAlignment="1">
      <alignment/>
    </xf>
    <xf numFmtId="0" fontId="82" fillId="0" borderId="19" xfId="0" applyFont="1" applyBorder="1" applyAlignment="1">
      <alignment/>
    </xf>
    <xf numFmtId="0" fontId="82" fillId="0" borderId="22" xfId="0" applyFont="1" applyBorder="1" applyAlignment="1">
      <alignment horizontal="right"/>
    </xf>
    <xf numFmtId="0" fontId="82" fillId="0" borderId="24" xfId="0" applyFont="1" applyBorder="1" applyAlignment="1">
      <alignment horizontal="center"/>
    </xf>
    <xf numFmtId="0" fontId="82" fillId="0" borderId="20" xfId="0" applyFont="1" applyBorder="1" applyAlignment="1">
      <alignment/>
    </xf>
    <xf numFmtId="3" fontId="82" fillId="0" borderId="23" xfId="0" applyNumberFormat="1" applyFont="1" applyFill="1" applyBorder="1" applyAlignment="1">
      <alignment horizontal="center"/>
    </xf>
    <xf numFmtId="0" fontId="82" fillId="0" borderId="23" xfId="0" applyFont="1" applyFill="1" applyBorder="1" applyAlignment="1">
      <alignment/>
    </xf>
    <xf numFmtId="6" fontId="82" fillId="0" borderId="23" xfId="0" applyNumberFormat="1" applyFont="1" applyFill="1" applyBorder="1" applyAlignment="1">
      <alignment horizontal="center"/>
    </xf>
    <xf numFmtId="0" fontId="82" fillId="0" borderId="23" xfId="0" applyFont="1" applyFill="1" applyBorder="1" applyAlignment="1">
      <alignment horizontal="center"/>
    </xf>
    <xf numFmtId="9" fontId="82" fillId="0" borderId="23" xfId="0" applyNumberFormat="1" applyFont="1" applyFill="1" applyBorder="1" applyAlignment="1">
      <alignment horizontal="center"/>
    </xf>
    <xf numFmtId="3" fontId="82" fillId="0" borderId="21" xfId="0" applyNumberFormat="1" applyFont="1" applyFill="1" applyBorder="1" applyAlignment="1">
      <alignment horizontal="center"/>
    </xf>
    <xf numFmtId="3" fontId="82" fillId="0" borderId="24" xfId="0" applyNumberFormat="1" applyFont="1" applyFill="1" applyBorder="1" applyAlignment="1">
      <alignment horizontal="center"/>
    </xf>
    <xf numFmtId="0" fontId="82" fillId="0" borderId="25" xfId="0" applyFont="1" applyBorder="1" applyAlignment="1">
      <alignment/>
    </xf>
    <xf numFmtId="9" fontId="82" fillId="0" borderId="13" xfId="0" applyNumberFormat="1" applyFont="1" applyFill="1" applyBorder="1" applyAlignment="1">
      <alignment horizontal="center"/>
    </xf>
    <xf numFmtId="3" fontId="82" fillId="0" borderId="19" xfId="0" applyNumberFormat="1" applyFont="1" applyFill="1" applyBorder="1" applyAlignment="1">
      <alignment horizontal="center"/>
    </xf>
    <xf numFmtId="0" fontId="95" fillId="0" borderId="0" xfId="53" applyFont="1" applyBorder="1" applyAlignment="1" applyProtection="1">
      <alignment horizontal="center"/>
      <protection/>
    </xf>
    <xf numFmtId="0" fontId="96" fillId="0" borderId="15" xfId="0" applyFont="1" applyBorder="1" applyAlignment="1">
      <alignment/>
    </xf>
    <xf numFmtId="6" fontId="97" fillId="0" borderId="0" xfId="0" applyNumberFormat="1" applyFont="1" applyFill="1" applyBorder="1" applyAlignment="1">
      <alignment horizontal="center"/>
    </xf>
    <xf numFmtId="6" fontId="97" fillId="0" borderId="24" xfId="0" applyNumberFormat="1" applyFont="1" applyFill="1" applyBorder="1" applyAlignment="1">
      <alignment horizontal="center"/>
    </xf>
    <xf numFmtId="0" fontId="82" fillId="0" borderId="0" xfId="0" applyFont="1" applyBorder="1" applyAlignment="1">
      <alignment horizontal="center" wrapText="1"/>
    </xf>
    <xf numFmtId="0" fontId="96" fillId="0" borderId="0" xfId="0" applyFont="1" applyBorder="1" applyAlignment="1">
      <alignment/>
    </xf>
    <xf numFmtId="9" fontId="82" fillId="0" borderId="23" xfId="0" applyNumberFormat="1" applyFont="1" applyFill="1" applyBorder="1" applyAlignment="1">
      <alignment horizontal="left"/>
    </xf>
    <xf numFmtId="0" fontId="82" fillId="0" borderId="22" xfId="0" applyFont="1" applyBorder="1" applyAlignment="1">
      <alignment/>
    </xf>
    <xf numFmtId="6" fontId="97" fillId="0" borderId="0" xfId="0" applyNumberFormat="1" applyFont="1" applyBorder="1" applyAlignment="1">
      <alignment horizontal="center"/>
    </xf>
    <xf numFmtId="3" fontId="82" fillId="0" borderId="0" xfId="0" applyNumberFormat="1" applyFont="1" applyFill="1" applyBorder="1" applyAlignment="1" quotePrefix="1">
      <alignment horizontal="center"/>
    </xf>
    <xf numFmtId="0" fontId="82" fillId="0" borderId="0" xfId="0" applyFont="1" applyFill="1" applyBorder="1" applyAlignment="1">
      <alignment horizontal="center"/>
    </xf>
    <xf numFmtId="0" fontId="82" fillId="0" borderId="22" xfId="0" applyFont="1" applyFill="1" applyBorder="1" applyAlignment="1">
      <alignment horizontal="left" indent="1"/>
    </xf>
    <xf numFmtId="0" fontId="82" fillId="0" borderId="25" xfId="0" applyFont="1" applyBorder="1" applyAlignment="1">
      <alignment horizontal="left"/>
    </xf>
    <xf numFmtId="3" fontId="82" fillId="0" borderId="13" xfId="0" applyNumberFormat="1" applyFont="1" applyBorder="1" applyAlignment="1">
      <alignment horizontal="center"/>
    </xf>
    <xf numFmtId="0" fontId="93" fillId="0" borderId="20" xfId="0" applyFont="1" applyBorder="1" applyAlignment="1">
      <alignment horizontal="left" indent="1"/>
    </xf>
    <xf numFmtId="0" fontId="84" fillId="0" borderId="23" xfId="0" applyFont="1" applyBorder="1" applyAlignment="1">
      <alignment/>
    </xf>
    <xf numFmtId="0" fontId="93" fillId="0" borderId="22" xfId="0" applyFont="1" applyBorder="1" applyAlignment="1">
      <alignment horizontal="left" indent="1"/>
    </xf>
    <xf numFmtId="0" fontId="93" fillId="0" borderId="25" xfId="0" applyFont="1" applyBorder="1" applyAlignment="1">
      <alignment horizontal="left" indent="1"/>
    </xf>
    <xf numFmtId="0" fontId="84" fillId="0" borderId="13" xfId="0" applyFont="1" applyBorder="1" applyAlignment="1">
      <alignment/>
    </xf>
    <xf numFmtId="3" fontId="98" fillId="0" borderId="0" xfId="0" applyNumberFormat="1" applyFont="1" applyBorder="1" applyAlignment="1">
      <alignment horizontal="center"/>
    </xf>
    <xf numFmtId="3" fontId="44" fillId="0" borderId="0" xfId="0" applyNumberFormat="1" applyFont="1" applyBorder="1" applyAlignment="1">
      <alignment horizontal="center"/>
    </xf>
    <xf numFmtId="0" fontId="83" fillId="0" borderId="22" xfId="0" applyFont="1" applyBorder="1" applyAlignment="1">
      <alignment horizontal="right"/>
    </xf>
    <xf numFmtId="0" fontId="82" fillId="0" borderId="0" xfId="0" applyFont="1" applyBorder="1" applyAlignment="1">
      <alignment horizontal="left" wrapText="1"/>
    </xf>
    <xf numFmtId="0" fontId="82" fillId="0" borderId="0" xfId="0" applyFont="1" applyFill="1" applyBorder="1" applyAlignment="1" quotePrefix="1">
      <alignment horizontal="center" wrapText="1"/>
    </xf>
    <xf numFmtId="0" fontId="82" fillId="0" borderId="0" xfId="0" applyFont="1" applyFill="1" applyBorder="1" applyAlignment="1" quotePrefix="1">
      <alignment horizontal="center"/>
    </xf>
    <xf numFmtId="0" fontId="99" fillId="0" borderId="0" xfId="0" applyFont="1" applyBorder="1" applyAlignment="1">
      <alignment/>
    </xf>
    <xf numFmtId="6" fontId="82" fillId="0" borderId="0" xfId="0" applyNumberFormat="1" applyFont="1" applyFill="1" applyBorder="1" applyAlignment="1">
      <alignment horizontal="left"/>
    </xf>
    <xf numFmtId="174" fontId="82" fillId="0" borderId="0" xfId="0" applyNumberFormat="1" applyFont="1" applyBorder="1" applyAlignment="1">
      <alignment horizontal="center"/>
    </xf>
    <xf numFmtId="0" fontId="82" fillId="0" borderId="24" xfId="0" applyFont="1" applyFill="1" applyBorder="1" applyAlignment="1">
      <alignment horizontal="center" wrapText="1"/>
    </xf>
    <xf numFmtId="0" fontId="83" fillId="0" borderId="22" xfId="0" applyFont="1" applyFill="1" applyBorder="1" applyAlignment="1">
      <alignment horizontal="right"/>
    </xf>
    <xf numFmtId="0" fontId="83" fillId="0" borderId="15" xfId="0" applyFont="1" applyFill="1" applyBorder="1" applyAlignment="1">
      <alignment horizontal="center" wrapText="1"/>
    </xf>
    <xf numFmtId="0" fontId="82" fillId="0" borderId="16" xfId="0" applyFont="1" applyFill="1" applyBorder="1" applyAlignment="1">
      <alignment horizontal="center"/>
    </xf>
    <xf numFmtId="0" fontId="82" fillId="0" borderId="12" xfId="0" applyFont="1" applyFill="1" applyBorder="1" applyAlignment="1">
      <alignment horizontal="center"/>
    </xf>
    <xf numFmtId="0" fontId="85" fillId="0" borderId="12" xfId="0" applyFont="1" applyFill="1" applyBorder="1" applyAlignment="1">
      <alignment horizontal="center"/>
    </xf>
    <xf numFmtId="9" fontId="83" fillId="0" borderId="12" xfId="0" applyNumberFormat="1" applyFont="1" applyFill="1" applyBorder="1" applyAlignment="1">
      <alignment horizontal="center" wrapText="1"/>
    </xf>
    <xf numFmtId="0" fontId="82" fillId="0" borderId="17" xfId="0" applyFont="1" applyFill="1" applyBorder="1" applyAlignment="1">
      <alignment/>
    </xf>
    <xf numFmtId="0" fontId="82" fillId="0" borderId="0" xfId="0" applyFont="1" applyBorder="1" applyAlignment="1" quotePrefix="1">
      <alignment/>
    </xf>
    <xf numFmtId="0" fontId="93" fillId="0" borderId="22" xfId="0" applyFont="1" applyFill="1" applyBorder="1" applyAlignment="1">
      <alignment horizontal="left" wrapText="1" indent="1"/>
    </xf>
    <xf numFmtId="0" fontId="82" fillId="0" borderId="24" xfId="0" applyFont="1" applyBorder="1" applyAlignment="1">
      <alignment horizontal="center" wrapText="1"/>
    </xf>
    <xf numFmtId="38" fontId="82" fillId="0" borderId="0" xfId="0" applyNumberFormat="1" applyFont="1" applyBorder="1" applyAlignment="1">
      <alignment horizontal="center"/>
    </xf>
    <xf numFmtId="0" fontId="82" fillId="0" borderId="0" xfId="0" applyFont="1" applyBorder="1" applyAlignment="1" quotePrefix="1">
      <alignment horizontal="center"/>
    </xf>
    <xf numFmtId="190" fontId="82" fillId="0" borderId="0" xfId="0" applyNumberFormat="1" applyFont="1" applyBorder="1" applyAlignment="1">
      <alignment horizontal="center"/>
    </xf>
    <xf numFmtId="0" fontId="82" fillId="0" borderId="0" xfId="0" applyFont="1" applyBorder="1" applyAlignment="1" quotePrefix="1">
      <alignment horizontal="center" wrapText="1"/>
    </xf>
    <xf numFmtId="1" fontId="82" fillId="0" borderId="0" xfId="0" applyNumberFormat="1" applyFont="1" applyBorder="1" applyAlignment="1">
      <alignment horizontal="center"/>
    </xf>
    <xf numFmtId="0" fontId="82" fillId="0" borderId="25" xfId="0" applyFont="1" applyBorder="1" applyAlignment="1">
      <alignment horizontal="right"/>
    </xf>
    <xf numFmtId="8" fontId="82" fillId="0" borderId="13" xfId="0" applyNumberFormat="1" applyFont="1" applyBorder="1" applyAlignment="1">
      <alignment horizontal="center"/>
    </xf>
    <xf numFmtId="0" fontId="82" fillId="0" borderId="19" xfId="0" applyFont="1" applyBorder="1" applyAlignment="1">
      <alignment horizontal="center"/>
    </xf>
    <xf numFmtId="8" fontId="82" fillId="0" borderId="23" xfId="0" applyNumberFormat="1" applyFont="1" applyBorder="1" applyAlignment="1">
      <alignment horizontal="center"/>
    </xf>
    <xf numFmtId="0" fontId="82" fillId="0" borderId="23" xfId="0" applyFont="1" applyBorder="1" applyAlignment="1">
      <alignment horizontal="center"/>
    </xf>
    <xf numFmtId="0" fontId="94" fillId="0" borderId="22" xfId="0" applyFont="1" applyBorder="1" applyAlignment="1">
      <alignment horizontal="left"/>
    </xf>
    <xf numFmtId="0" fontId="94" fillId="0" borderId="25" xfId="0" applyFont="1" applyBorder="1" applyAlignment="1">
      <alignment horizontal="left"/>
    </xf>
    <xf numFmtId="0" fontId="82" fillId="0" borderId="15" xfId="0" applyFont="1" applyBorder="1" applyAlignment="1">
      <alignment horizontal="right"/>
    </xf>
    <xf numFmtId="0" fontId="82" fillId="0" borderId="17" xfId="0" applyFont="1" applyFill="1" applyBorder="1" applyAlignment="1">
      <alignment horizontal="center"/>
    </xf>
    <xf numFmtId="0" fontId="82" fillId="0" borderId="0" xfId="0" applyFont="1" applyBorder="1" applyAlignment="1">
      <alignment horizontal="left" indent="2"/>
    </xf>
    <xf numFmtId="8" fontId="13" fillId="0" borderId="0" xfId="0" applyNumberFormat="1" applyFont="1" applyBorder="1" applyAlignment="1">
      <alignment horizontal="left"/>
    </xf>
    <xf numFmtId="0" fontId="82" fillId="0" borderId="21" xfId="0" applyFont="1" applyBorder="1" applyAlignment="1">
      <alignment/>
    </xf>
    <xf numFmtId="0" fontId="100" fillId="0" borderId="22" xfId="0" applyFont="1" applyBorder="1" applyAlignment="1">
      <alignment horizontal="left" indent="2"/>
    </xf>
    <xf numFmtId="173" fontId="101" fillId="0" borderId="24" xfId="0" applyNumberFormat="1" applyFont="1" applyBorder="1" applyAlignment="1">
      <alignment horizontal="center"/>
    </xf>
    <xf numFmtId="9" fontId="82" fillId="0" borderId="13" xfId="0" applyNumberFormat="1" applyFont="1" applyFill="1" applyBorder="1" applyAlignment="1">
      <alignment horizontal="center" wrapText="1"/>
    </xf>
    <xf numFmtId="0" fontId="82" fillId="0" borderId="0" xfId="0" applyFont="1" applyFill="1" applyBorder="1" applyAlignment="1">
      <alignment horizontal="left" indent="1"/>
    </xf>
    <xf numFmtId="0" fontId="82" fillId="0" borderId="22" xfId="0" applyFont="1" applyBorder="1" applyAlignment="1">
      <alignment horizontal="left" indent="2"/>
    </xf>
    <xf numFmtId="0" fontId="73" fillId="0" borderId="0" xfId="0" applyFont="1" applyBorder="1" applyAlignment="1">
      <alignment horizontal="left"/>
    </xf>
    <xf numFmtId="174" fontId="98" fillId="0" borderId="0" xfId="0" applyNumberFormat="1" applyFont="1" applyFill="1" applyBorder="1" applyAlignment="1">
      <alignment horizontal="center"/>
    </xf>
    <xf numFmtId="9" fontId="82" fillId="0" borderId="0" xfId="0" applyNumberFormat="1" applyFont="1" applyFill="1" applyBorder="1" applyAlignment="1">
      <alignment horizontal="left"/>
    </xf>
    <xf numFmtId="173" fontId="97" fillId="0" borderId="24" xfId="0" applyNumberFormat="1" applyFont="1" applyBorder="1" applyAlignment="1">
      <alignment horizontal="center"/>
    </xf>
    <xf numFmtId="3" fontId="95" fillId="0" borderId="0" xfId="53" applyNumberFormat="1" applyFont="1" applyFill="1" applyBorder="1" applyAlignment="1" applyProtection="1">
      <alignment horizontal="center" wrapText="1"/>
      <protection/>
    </xf>
    <xf numFmtId="9" fontId="95" fillId="0" borderId="0" xfId="53" applyNumberFormat="1" applyFont="1" applyFill="1" applyBorder="1" applyAlignment="1" applyProtection="1">
      <alignment horizontal="center" wrapText="1"/>
      <protection/>
    </xf>
    <xf numFmtId="0" fontId="95" fillId="0" borderId="0" xfId="53" applyFont="1" applyBorder="1" applyAlignment="1" applyProtection="1">
      <alignment horizontal="center" wrapText="1"/>
      <protection/>
    </xf>
    <xf numFmtId="9" fontId="95" fillId="0" borderId="13" xfId="53" applyNumberFormat="1" applyFont="1" applyBorder="1" applyAlignment="1" applyProtection="1">
      <alignment horizontal="center" wrapText="1"/>
      <protection/>
    </xf>
    <xf numFmtId="6" fontId="82" fillId="0" borderId="13" xfId="0" applyNumberFormat="1" applyFont="1" applyFill="1" applyBorder="1" applyAlignment="1">
      <alignment horizontal="center" wrapText="1"/>
    </xf>
    <xf numFmtId="3" fontId="87" fillId="0" borderId="13" xfId="0" applyNumberFormat="1" applyFont="1" applyFill="1" applyBorder="1" applyAlignment="1">
      <alignment horizontal="center" wrapText="1"/>
    </xf>
    <xf numFmtId="0" fontId="82" fillId="0" borderId="19" xfId="0" applyFont="1" applyFill="1" applyBorder="1" applyAlignment="1">
      <alignment horizontal="center" wrapText="1"/>
    </xf>
    <xf numFmtId="0" fontId="95" fillId="0" borderId="13" xfId="53" applyFont="1" applyBorder="1" applyAlignment="1" applyProtection="1">
      <alignment horizontal="center" wrapText="1"/>
      <protection/>
    </xf>
    <xf numFmtId="6" fontId="44" fillId="0" borderId="0" xfId="0" applyNumberFormat="1" applyFont="1" applyFill="1" applyBorder="1" applyAlignment="1">
      <alignment horizontal="center"/>
    </xf>
    <xf numFmtId="0" fontId="82" fillId="0" borderId="19" xfId="0" applyFont="1" applyBorder="1" applyAlignment="1">
      <alignment horizontal="center" wrapText="1"/>
    </xf>
    <xf numFmtId="9" fontId="97" fillId="0" borderId="0" xfId="0" applyNumberFormat="1" applyFont="1" applyFill="1" applyBorder="1" applyAlignment="1">
      <alignment vertical="center" wrapText="1"/>
    </xf>
    <xf numFmtId="9" fontId="97" fillId="0" borderId="24" xfId="0" applyNumberFormat="1" applyFont="1" applyFill="1" applyBorder="1" applyAlignment="1">
      <alignment vertical="center" wrapText="1"/>
    </xf>
    <xf numFmtId="9" fontId="82" fillId="0" borderId="19" xfId="0" applyNumberFormat="1" applyFont="1" applyFill="1" applyBorder="1" applyAlignment="1">
      <alignment horizontal="center" wrapText="1"/>
    </xf>
    <xf numFmtId="3" fontId="82" fillId="0" borderId="24" xfId="0" applyNumberFormat="1" applyFont="1" applyFill="1" applyBorder="1" applyAlignment="1">
      <alignment horizontal="center" vertical="center"/>
    </xf>
    <xf numFmtId="3" fontId="82" fillId="0" borderId="19" xfId="0" applyNumberFormat="1" applyFont="1" applyFill="1" applyBorder="1" applyAlignment="1">
      <alignment horizontal="center" vertical="center"/>
    </xf>
    <xf numFmtId="3" fontId="82" fillId="0" borderId="24" xfId="0" applyNumberFormat="1" applyFont="1" applyBorder="1" applyAlignment="1">
      <alignment horizontal="center"/>
    </xf>
    <xf numFmtId="0" fontId="95" fillId="0" borderId="0" xfId="53" applyFont="1" applyFill="1" applyBorder="1" applyAlignment="1" applyProtection="1">
      <alignment horizontal="center" wrapText="1"/>
      <protection/>
    </xf>
    <xf numFmtId="0" fontId="95" fillId="0" borderId="0" xfId="53" applyFont="1" applyAlignment="1" applyProtection="1">
      <alignment horizontal="center" wrapText="1"/>
      <protection/>
    </xf>
    <xf numFmtId="189" fontId="82" fillId="0" borderId="0" xfId="0" applyNumberFormat="1" applyFont="1" applyFill="1" applyBorder="1" applyAlignment="1">
      <alignment horizontal="center"/>
    </xf>
    <xf numFmtId="9" fontId="95" fillId="0" borderId="13" xfId="53" applyNumberFormat="1" applyFont="1" applyFill="1" applyBorder="1" applyAlignment="1" applyProtection="1">
      <alignment horizontal="center" wrapText="1"/>
      <protection/>
    </xf>
    <xf numFmtId="6" fontId="95" fillId="0" borderId="13" xfId="53" applyNumberFormat="1" applyFont="1" applyFill="1" applyBorder="1" applyAlignment="1" applyProtection="1">
      <alignment horizontal="center" wrapText="1"/>
      <protection/>
    </xf>
    <xf numFmtId="3" fontId="95" fillId="0" borderId="13" xfId="53" applyNumberFormat="1" applyFont="1" applyFill="1" applyBorder="1" applyAlignment="1" applyProtection="1">
      <alignment horizontal="center" wrapText="1"/>
      <protection/>
    </xf>
    <xf numFmtId="8" fontId="95" fillId="0" borderId="13" xfId="53" applyNumberFormat="1" applyFont="1" applyBorder="1" applyAlignment="1" applyProtection="1">
      <alignment horizontal="center"/>
      <protection/>
    </xf>
    <xf numFmtId="8" fontId="82" fillId="0" borderId="13" xfId="0" applyNumberFormat="1" applyFont="1" applyBorder="1" applyAlignment="1">
      <alignment horizontal="center" wrapText="1"/>
    </xf>
    <xf numFmtId="0" fontId="82" fillId="0" borderId="0" xfId="0" applyFont="1" applyBorder="1" applyAlignment="1">
      <alignment horizontal="left" indent="3"/>
    </xf>
    <xf numFmtId="0" fontId="102" fillId="0" borderId="22" xfId="0" applyFont="1" applyBorder="1" applyAlignment="1">
      <alignment horizontal="left" indent="2"/>
    </xf>
    <xf numFmtId="0" fontId="87" fillId="0" borderId="13" xfId="0" applyFont="1" applyBorder="1" applyAlignment="1">
      <alignment horizontal="center" wrapText="1"/>
    </xf>
    <xf numFmtId="0" fontId="87" fillId="0" borderId="0" xfId="0" applyFont="1" applyBorder="1" applyAlignment="1">
      <alignment/>
    </xf>
    <xf numFmtId="0" fontId="87" fillId="0" borderId="0" xfId="0" applyFont="1" applyBorder="1" applyAlignment="1">
      <alignment horizontal="center" wrapText="1"/>
    </xf>
    <xf numFmtId="9" fontId="97" fillId="0" borderId="0" xfId="0" applyNumberFormat="1" applyFont="1" applyFill="1" applyBorder="1" applyAlignment="1" quotePrefix="1">
      <alignment vertical="center"/>
    </xf>
    <xf numFmtId="9" fontId="103" fillId="2" borderId="26" xfId="0" applyNumberFormat="1" applyFont="1" applyFill="1" applyBorder="1" applyAlignment="1">
      <alignment horizontal="center" vertical="center" wrapText="1"/>
    </xf>
    <xf numFmtId="0" fontId="91" fillId="0" borderId="22" xfId="0" applyFont="1" applyBorder="1" applyAlignment="1">
      <alignment horizontal="left" indent="1"/>
    </xf>
    <xf numFmtId="0" fontId="84" fillId="0" borderId="13" xfId="0" applyFont="1" applyBorder="1" applyAlignment="1">
      <alignment horizontal="left" wrapText="1"/>
    </xf>
    <xf numFmtId="0" fontId="82" fillId="0" borderId="20" xfId="0" applyFont="1" applyBorder="1" applyAlignment="1">
      <alignment horizontal="left" indent="1"/>
    </xf>
    <xf numFmtId="0" fontId="82" fillId="0" borderId="23" xfId="0" applyFont="1" applyFill="1" applyBorder="1" applyAlignment="1" quotePrefix="1">
      <alignment/>
    </xf>
    <xf numFmtId="0" fontId="84" fillId="0" borderId="0" xfId="0" applyFont="1" applyBorder="1" applyAlignment="1">
      <alignment horizontal="center" wrapText="1"/>
    </xf>
    <xf numFmtId="189" fontId="44" fillId="0" borderId="0" xfId="0" applyNumberFormat="1" applyFont="1" applyBorder="1" applyAlignment="1">
      <alignment horizontal="center"/>
    </xf>
    <xf numFmtId="3" fontId="87" fillId="0" borderId="24" xfId="0" applyNumberFormat="1" applyFont="1" applyFill="1" applyBorder="1" applyAlignment="1">
      <alignment horizontal="left"/>
    </xf>
    <xf numFmtId="9" fontId="82" fillId="0" borderId="24" xfId="0" applyNumberFormat="1" applyFont="1" applyBorder="1" applyAlignment="1">
      <alignment/>
    </xf>
    <xf numFmtId="0" fontId="87" fillId="0" borderId="24" xfId="0" applyFont="1" applyBorder="1" applyAlignment="1">
      <alignment horizontal="left"/>
    </xf>
    <xf numFmtId="0" fontId="91" fillId="0" borderId="25" xfId="0" applyFont="1" applyBorder="1" applyAlignment="1">
      <alignment horizontal="left" indent="1"/>
    </xf>
    <xf numFmtId="0" fontId="91" fillId="0" borderId="27" xfId="0" applyFont="1" applyBorder="1" applyAlignment="1">
      <alignment horizontal="left" indent="1"/>
    </xf>
    <xf numFmtId="3" fontId="82" fillId="0" borderId="27" xfId="0" applyNumberFormat="1" applyFont="1" applyBorder="1" applyAlignment="1">
      <alignment horizontal="center"/>
    </xf>
    <xf numFmtId="3" fontId="83" fillId="0" borderId="27" xfId="0" applyNumberFormat="1" applyFont="1" applyBorder="1" applyAlignment="1">
      <alignment horizontal="left" indent="2"/>
    </xf>
    <xf numFmtId="0" fontId="82" fillId="0" borderId="27" xfId="0" applyFont="1" applyBorder="1" applyAlignment="1">
      <alignment/>
    </xf>
    <xf numFmtId="3" fontId="83" fillId="0" borderId="27" xfId="0" applyNumberFormat="1" applyFont="1" applyBorder="1" applyAlignment="1">
      <alignment horizontal="left" indent="4"/>
    </xf>
    <xf numFmtId="0" fontId="97" fillId="0" borderId="0" xfId="0" applyFont="1" applyBorder="1" applyAlignment="1">
      <alignment horizontal="right"/>
    </xf>
    <xf numFmtId="6" fontId="97" fillId="0" borderId="24" xfId="0" applyNumberFormat="1" applyFont="1" applyBorder="1" applyAlignment="1">
      <alignment horizontal="center"/>
    </xf>
    <xf numFmtId="49" fontId="104" fillId="0" borderId="0" xfId="0" applyNumberFormat="1" applyFont="1" applyBorder="1" applyAlignment="1">
      <alignment horizontal="center"/>
    </xf>
    <xf numFmtId="9" fontId="97" fillId="0" borderId="0" xfId="0" applyNumberFormat="1" applyFont="1" applyFill="1" applyBorder="1" applyAlignment="1" quotePrefix="1">
      <alignment horizontal="left" vertical="center" indent="1"/>
    </xf>
    <xf numFmtId="0" fontId="105" fillId="0" borderId="0" xfId="0" applyFont="1" applyBorder="1" applyAlignment="1">
      <alignment horizontal="center"/>
    </xf>
    <xf numFmtId="0" fontId="82" fillId="0" borderId="0" xfId="0" applyFont="1" applyAlignment="1">
      <alignment horizontal="center"/>
    </xf>
    <xf numFmtId="0" fontId="102" fillId="19" borderId="22" xfId="0" applyFont="1" applyFill="1" applyBorder="1" applyAlignment="1">
      <alignment horizontal="left" indent="2"/>
    </xf>
    <xf numFmtId="3" fontId="83" fillId="19" borderId="0" xfId="0" applyNumberFormat="1" applyFont="1" applyFill="1" applyBorder="1" applyAlignment="1">
      <alignment horizontal="center"/>
    </xf>
    <xf numFmtId="0" fontId="82" fillId="19" borderId="0" xfId="0" applyFont="1" applyFill="1" applyBorder="1" applyAlignment="1">
      <alignment horizontal="left" wrapText="1"/>
    </xf>
    <xf numFmtId="9" fontId="83" fillId="19" borderId="0" xfId="0" applyNumberFormat="1" applyFont="1" applyFill="1" applyBorder="1" applyAlignment="1">
      <alignment horizontal="center"/>
    </xf>
    <xf numFmtId="0" fontId="82" fillId="19" borderId="0" xfId="0" applyFont="1" applyFill="1" applyBorder="1" applyAlignment="1">
      <alignment/>
    </xf>
    <xf numFmtId="3" fontId="83" fillId="0" borderId="27" xfId="0" applyNumberFormat="1" applyFont="1" applyBorder="1" applyAlignment="1">
      <alignment horizontal="left" indent="3"/>
    </xf>
    <xf numFmtId="0" fontId="95" fillId="0" borderId="0" xfId="53" applyFont="1" applyBorder="1" applyAlignment="1" applyProtection="1">
      <alignment horizontal="center"/>
      <protection/>
    </xf>
    <xf numFmtId="0" fontId="85" fillId="33" borderId="12" xfId="0" applyFont="1" applyFill="1" applyBorder="1" applyAlignment="1">
      <alignment horizontal="center"/>
    </xf>
    <xf numFmtId="0" fontId="98" fillId="0" borderId="0" xfId="0" applyFont="1" applyBorder="1" applyAlignment="1">
      <alignment horizontal="right"/>
    </xf>
    <xf numFmtId="6" fontId="82" fillId="0" borderId="13" xfId="0" applyNumberFormat="1" applyFont="1" applyBorder="1" applyAlignment="1">
      <alignment horizontal="center"/>
    </xf>
    <xf numFmtId="0" fontId="73" fillId="0" borderId="0" xfId="0" applyFont="1" applyBorder="1" applyAlignment="1">
      <alignment/>
    </xf>
    <xf numFmtId="3" fontId="83" fillId="0" borderId="0" xfId="0" applyNumberFormat="1" applyFont="1" applyFill="1" applyBorder="1" applyAlignment="1">
      <alignment horizontal="left"/>
    </xf>
    <xf numFmtId="0" fontId="106" fillId="0" borderId="0" xfId="0" applyFont="1" applyBorder="1" applyAlignment="1">
      <alignment/>
    </xf>
    <xf numFmtId="6" fontId="83" fillId="0" borderId="23" xfId="0" applyNumberFormat="1" applyFont="1" applyFill="1" applyBorder="1" applyAlignment="1">
      <alignment horizontal="center"/>
    </xf>
    <xf numFmtId="0" fontId="107" fillId="0" borderId="22" xfId="0" applyFont="1" applyBorder="1" applyAlignment="1">
      <alignment horizontal="left" indent="1"/>
    </xf>
    <xf numFmtId="3" fontId="82" fillId="0" borderId="0" xfId="0" applyNumberFormat="1" applyFont="1" applyFill="1" applyBorder="1" applyAlignment="1">
      <alignment horizontal="left" indent="2"/>
    </xf>
    <xf numFmtId="0" fontId="82" fillId="0" borderId="0" xfId="0" applyFont="1" applyFill="1" applyBorder="1" applyAlignment="1">
      <alignment horizontal="left" indent="2"/>
    </xf>
    <xf numFmtId="6" fontId="82" fillId="0" borderId="0" xfId="0" applyNumberFormat="1" applyFont="1" applyFill="1" applyBorder="1" applyAlignment="1">
      <alignment horizontal="left" indent="2"/>
    </xf>
    <xf numFmtId="9" fontId="82" fillId="0" borderId="0" xfId="0" applyNumberFormat="1" applyFont="1" applyFill="1" applyBorder="1" applyAlignment="1">
      <alignment horizontal="left" indent="2"/>
    </xf>
    <xf numFmtId="3" fontId="82" fillId="0" borderId="24" xfId="0" applyNumberFormat="1" applyFont="1" applyFill="1" applyBorder="1" applyAlignment="1">
      <alignment horizontal="left" indent="2"/>
    </xf>
    <xf numFmtId="3" fontId="82" fillId="0" borderId="12" xfId="0" applyNumberFormat="1" applyFont="1" applyFill="1" applyBorder="1" applyAlignment="1">
      <alignment horizontal="left" indent="1"/>
    </xf>
    <xf numFmtId="0" fontId="82" fillId="0" borderId="12" xfId="0" applyFont="1" applyBorder="1" applyAlignment="1">
      <alignment wrapText="1"/>
    </xf>
    <xf numFmtId="0" fontId="82" fillId="0" borderId="22" xfId="0" applyFont="1" applyBorder="1" applyAlignment="1">
      <alignment horizontal="left" wrapText="1"/>
    </xf>
    <xf numFmtId="0" fontId="82" fillId="0" borderId="24" xfId="0" applyFont="1" applyBorder="1" applyAlignment="1">
      <alignment horizontal="left" wrapText="1"/>
    </xf>
    <xf numFmtId="0" fontId="82" fillId="0" borderId="12" xfId="0" applyFont="1" applyBorder="1" applyAlignment="1">
      <alignment horizontal="left" wrapText="1"/>
    </xf>
    <xf numFmtId="0" fontId="83" fillId="0" borderId="13" xfId="0" applyFont="1" applyFill="1" applyBorder="1" applyAlignment="1">
      <alignment horizontal="center" wrapText="1"/>
    </xf>
    <xf numFmtId="0" fontId="83" fillId="0" borderId="13" xfId="0" applyFont="1" applyBorder="1" applyAlignment="1">
      <alignment horizontal="center" wrapText="1"/>
    </xf>
    <xf numFmtId="9" fontId="95" fillId="0" borderId="13" xfId="53" applyNumberFormat="1" applyFont="1" applyBorder="1" applyAlignment="1" applyProtection="1">
      <alignment horizontal="center" wrapText="1"/>
      <protection/>
    </xf>
    <xf numFmtId="0" fontId="83" fillId="0" borderId="0" xfId="0" applyFont="1" applyBorder="1" applyAlignment="1">
      <alignment/>
    </xf>
    <xf numFmtId="0" fontId="83" fillId="0" borderId="22" xfId="0" applyFont="1" applyBorder="1" applyAlignment="1">
      <alignment horizontal="left" indent="1"/>
    </xf>
    <xf numFmtId="0" fontId="83" fillId="0" borderId="13" xfId="0" applyFont="1" applyBorder="1" applyAlignment="1">
      <alignment horizontal="center"/>
    </xf>
    <xf numFmtId="0" fontId="86" fillId="0" borderId="0" xfId="0" applyFont="1" applyBorder="1" applyAlignment="1">
      <alignment horizontal="left" indent="3"/>
    </xf>
    <xf numFmtId="8" fontId="82" fillId="0" borderId="24" xfId="0" applyNumberFormat="1" applyFont="1" applyFill="1" applyBorder="1" applyAlignment="1">
      <alignment horizontal="center"/>
    </xf>
    <xf numFmtId="8" fontId="5" fillId="0" borderId="0" xfId="0" applyNumberFormat="1" applyFont="1" applyBorder="1" applyAlignment="1">
      <alignment horizontal="left"/>
    </xf>
    <xf numFmtId="3" fontId="86" fillId="0" borderId="0" xfId="0" applyNumberFormat="1" applyFont="1" applyFill="1" applyBorder="1" applyAlignment="1">
      <alignment horizontal="center"/>
    </xf>
    <xf numFmtId="9" fontId="86" fillId="0" borderId="0" xfId="0" applyNumberFormat="1" applyFont="1" applyFill="1" applyBorder="1" applyAlignment="1">
      <alignment horizontal="center" wrapText="1"/>
    </xf>
    <xf numFmtId="0" fontId="108" fillId="0" borderId="0" xfId="0" applyFont="1" applyBorder="1" applyAlignment="1">
      <alignment vertical="top" wrapText="1"/>
    </xf>
    <xf numFmtId="8" fontId="82" fillId="0" borderId="23" xfId="0" applyNumberFormat="1" applyFont="1" applyBorder="1" applyAlignment="1">
      <alignment horizontal="left"/>
    </xf>
    <xf numFmtId="8" fontId="82" fillId="0" borderId="0" xfId="0" applyNumberFormat="1" applyFont="1" applyBorder="1" applyAlignment="1">
      <alignment horizontal="left" indent="1"/>
    </xf>
    <xf numFmtId="3" fontId="82" fillId="0" borderId="0" xfId="0" applyNumberFormat="1" applyFont="1" applyFill="1" applyBorder="1" applyAlignment="1">
      <alignment horizontal="left" indent="1"/>
    </xf>
    <xf numFmtId="9" fontId="82" fillId="0" borderId="0" xfId="0" applyNumberFormat="1" applyFont="1" applyFill="1" applyBorder="1" applyAlignment="1">
      <alignment horizontal="left" indent="1"/>
    </xf>
    <xf numFmtId="6" fontId="82" fillId="0" borderId="0" xfId="0" applyNumberFormat="1" applyFont="1" applyFill="1" applyBorder="1" applyAlignment="1">
      <alignment horizontal="left" indent="1"/>
    </xf>
    <xf numFmtId="6" fontId="83" fillId="0" borderId="0" xfId="0" applyNumberFormat="1" applyFont="1" applyFill="1" applyBorder="1" applyAlignment="1">
      <alignment horizontal="left" indent="1"/>
    </xf>
    <xf numFmtId="3" fontId="82" fillId="0" borderId="24" xfId="0" applyNumberFormat="1" applyFont="1" applyFill="1" applyBorder="1" applyAlignment="1">
      <alignment horizontal="left" indent="1"/>
    </xf>
    <xf numFmtId="0" fontId="82" fillId="0" borderId="22" xfId="0" applyFont="1" applyBorder="1" applyAlignment="1">
      <alignment horizontal="left"/>
    </xf>
    <xf numFmtId="0" fontId="83" fillId="0" borderId="13" xfId="0" applyFont="1" applyFill="1" applyBorder="1" applyAlignment="1">
      <alignment horizontal="center"/>
    </xf>
    <xf numFmtId="0" fontId="109" fillId="0" borderId="22" xfId="0" applyFont="1" applyBorder="1" applyAlignment="1">
      <alignment horizontal="left" indent="2"/>
    </xf>
    <xf numFmtId="6" fontId="84" fillId="0" borderId="0" xfId="0" applyNumberFormat="1" applyFont="1" applyFill="1" applyBorder="1" applyAlignment="1">
      <alignment horizontal="center"/>
    </xf>
    <xf numFmtId="6" fontId="84" fillId="0" borderId="13" xfId="0" applyNumberFormat="1" applyFont="1" applyFill="1" applyBorder="1" applyAlignment="1">
      <alignment horizontal="center"/>
    </xf>
    <xf numFmtId="6" fontId="110" fillId="0" borderId="0" xfId="0" applyNumberFormat="1" applyFont="1" applyBorder="1" applyAlignment="1">
      <alignment horizontal="center"/>
    </xf>
    <xf numFmtId="6" fontId="82" fillId="0" borderId="0" xfId="0" applyNumberFormat="1" applyFont="1" applyBorder="1" applyAlignment="1">
      <alignment horizontal="right"/>
    </xf>
    <xf numFmtId="3" fontId="82" fillId="0" borderId="13" xfId="0" applyNumberFormat="1" applyFont="1" applyBorder="1" applyAlignment="1">
      <alignment horizontal="left"/>
    </xf>
    <xf numFmtId="0" fontId="86" fillId="0" borderId="22" xfId="0" applyFont="1" applyBorder="1" applyAlignment="1">
      <alignment/>
    </xf>
    <xf numFmtId="1" fontId="82" fillId="0" borderId="0" xfId="0" applyNumberFormat="1" applyFont="1" applyFill="1" applyBorder="1" applyAlignment="1">
      <alignment horizontal="center"/>
    </xf>
    <xf numFmtId="0" fontId="83" fillId="0" borderId="25" xfId="0" applyFont="1" applyBorder="1" applyAlignment="1">
      <alignment horizontal="left" indent="1"/>
    </xf>
    <xf numFmtId="8" fontId="82" fillId="0" borderId="13" xfId="0" applyNumberFormat="1" applyFont="1" applyFill="1" applyBorder="1" applyAlignment="1">
      <alignment horizontal="center"/>
    </xf>
    <xf numFmtId="1" fontId="82" fillId="0" borderId="13" xfId="0" applyNumberFormat="1" applyFont="1" applyFill="1" applyBorder="1" applyAlignment="1">
      <alignment horizontal="center"/>
    </xf>
    <xf numFmtId="0" fontId="82" fillId="0" borderId="0" xfId="0" applyFont="1" applyBorder="1" applyAlignment="1">
      <alignment horizontal="right" indent="4"/>
    </xf>
    <xf numFmtId="0" fontId="82" fillId="0" borderId="20" xfId="0" applyFont="1" applyBorder="1" applyAlignment="1">
      <alignment horizontal="right" indent="4"/>
    </xf>
    <xf numFmtId="0" fontId="86" fillId="0" borderId="22" xfId="0" applyFont="1" applyBorder="1" applyAlignment="1">
      <alignment horizontal="left" indent="1"/>
    </xf>
    <xf numFmtId="9" fontId="82" fillId="0" borderId="13" xfId="0" applyNumberFormat="1" applyFont="1" applyFill="1" applyBorder="1" applyAlignment="1">
      <alignment horizontal="left"/>
    </xf>
    <xf numFmtId="164" fontId="82" fillId="0" borderId="0" xfId="0" applyNumberFormat="1" applyFont="1" applyFill="1" applyAlignment="1">
      <alignment horizontal="center"/>
    </xf>
    <xf numFmtId="9" fontId="82" fillId="0" borderId="0" xfId="0" applyNumberFormat="1" applyFont="1" applyBorder="1" applyAlignment="1">
      <alignment/>
    </xf>
    <xf numFmtId="0" fontId="82" fillId="0" borderId="28" xfId="0" applyFont="1" applyBorder="1" applyAlignment="1">
      <alignment/>
    </xf>
    <xf numFmtId="0" fontId="90" fillId="0" borderId="29" xfId="0" applyFont="1" applyBorder="1" applyAlignment="1">
      <alignment/>
    </xf>
    <xf numFmtId="0" fontId="82" fillId="0" borderId="29" xfId="0" applyFont="1" applyBorder="1" applyAlignment="1">
      <alignment/>
    </xf>
    <xf numFmtId="0" fontId="82" fillId="0" borderId="30" xfId="0" applyFont="1" applyBorder="1" applyAlignment="1">
      <alignment/>
    </xf>
    <xf numFmtId="0" fontId="82" fillId="0" borderId="31" xfId="0" applyFont="1" applyBorder="1" applyAlignment="1">
      <alignment/>
    </xf>
    <xf numFmtId="0" fontId="82" fillId="0" borderId="32" xfId="0" applyFont="1" applyBorder="1" applyAlignment="1">
      <alignment/>
    </xf>
    <xf numFmtId="0" fontId="82" fillId="0" borderId="32" xfId="0" applyFont="1" applyFill="1" applyBorder="1" applyAlignment="1">
      <alignment horizontal="center"/>
    </xf>
    <xf numFmtId="0" fontId="82" fillId="0" borderId="32" xfId="0" applyFont="1" applyFill="1" applyBorder="1" applyAlignment="1">
      <alignment/>
    </xf>
    <xf numFmtId="0" fontId="82" fillId="0" borderId="33" xfId="0" applyFont="1" applyBorder="1" applyAlignment="1">
      <alignment/>
    </xf>
    <xf numFmtId="0" fontId="82" fillId="0" borderId="34" xfId="0" applyFont="1" applyBorder="1" applyAlignment="1">
      <alignment/>
    </xf>
    <xf numFmtId="0" fontId="82" fillId="0" borderId="35" xfId="0" applyFont="1" applyBorder="1" applyAlignment="1">
      <alignment/>
    </xf>
    <xf numFmtId="3" fontId="82" fillId="2" borderId="26" xfId="0" applyNumberFormat="1" applyFont="1" applyFill="1" applyBorder="1" applyAlignment="1" applyProtection="1">
      <alignment horizontal="center"/>
      <protection locked="0"/>
    </xf>
    <xf numFmtId="9" fontId="82" fillId="2" borderId="26" xfId="0" applyNumberFormat="1" applyFont="1" applyFill="1" applyBorder="1" applyAlignment="1" applyProtection="1">
      <alignment horizontal="center"/>
      <protection locked="0"/>
    </xf>
    <xf numFmtId="0" fontId="82" fillId="0" borderId="36" xfId="0" applyFont="1" applyBorder="1" applyAlignment="1" applyProtection="1">
      <alignment horizontal="left"/>
      <protection locked="0"/>
    </xf>
    <xf numFmtId="0" fontId="82" fillId="0" borderId="37" xfId="0" applyFont="1" applyBorder="1" applyAlignment="1" applyProtection="1">
      <alignment horizontal="left"/>
      <protection locked="0"/>
    </xf>
    <xf numFmtId="0" fontId="82" fillId="0" borderId="38" xfId="0" applyFont="1" applyBorder="1" applyAlignment="1" applyProtection="1">
      <alignment horizontal="left"/>
      <protection locked="0"/>
    </xf>
    <xf numFmtId="0" fontId="82" fillId="0" borderId="0" xfId="0" applyFont="1" applyBorder="1" applyAlignment="1" applyProtection="1">
      <alignment/>
      <protection locked="0"/>
    </xf>
    <xf numFmtId="0" fontId="82" fillId="0" borderId="0" xfId="0" applyFont="1" applyFill="1" applyBorder="1" applyAlignment="1" applyProtection="1">
      <alignment horizontal="center"/>
      <protection locked="0"/>
    </xf>
    <xf numFmtId="0" fontId="82" fillId="0" borderId="0" xfId="0" applyFont="1" applyBorder="1" applyAlignment="1" applyProtection="1">
      <alignment horizontal="left"/>
      <protection locked="0"/>
    </xf>
    <xf numFmtId="0" fontId="82" fillId="0" borderId="0" xfId="0" applyFont="1" applyFill="1" applyBorder="1" applyAlignment="1" applyProtection="1">
      <alignment/>
      <protection locked="0"/>
    </xf>
    <xf numFmtId="0" fontId="86" fillId="0" borderId="20" xfId="0" applyFont="1" applyBorder="1" applyAlignment="1" applyProtection="1">
      <alignment horizontal="right"/>
      <protection locked="0"/>
    </xf>
    <xf numFmtId="0" fontId="86" fillId="0" borderId="21" xfId="0" applyFont="1" applyBorder="1" applyAlignment="1" applyProtection="1">
      <alignment horizontal="center"/>
      <protection locked="0"/>
    </xf>
    <xf numFmtId="6" fontId="82" fillId="0" borderId="24" xfId="0" applyNumberFormat="1" applyFont="1" applyBorder="1" applyAlignment="1" applyProtection="1">
      <alignment horizontal="center"/>
      <protection locked="0"/>
    </xf>
    <xf numFmtId="6" fontId="82" fillId="0" borderId="24" xfId="0" applyNumberFormat="1" applyFont="1" applyFill="1" applyBorder="1" applyAlignment="1" applyProtection="1">
      <alignment horizontal="center"/>
      <protection locked="0"/>
    </xf>
    <xf numFmtId="6" fontId="82" fillId="0" borderId="19" xfId="0" applyNumberFormat="1" applyFont="1" applyFill="1" applyBorder="1" applyAlignment="1" applyProtection="1">
      <alignment horizontal="center"/>
      <protection locked="0"/>
    </xf>
    <xf numFmtId="0" fontId="82" fillId="0" borderId="20" xfId="0" applyFont="1" applyBorder="1" applyAlignment="1" applyProtection="1">
      <alignment/>
      <protection locked="0"/>
    </xf>
    <xf numFmtId="0" fontId="82" fillId="0" borderId="22" xfId="0" applyFont="1" applyBorder="1" applyAlignment="1" applyProtection="1">
      <alignment/>
      <protection locked="0"/>
    </xf>
    <xf numFmtId="0" fontId="82" fillId="0" borderId="25" xfId="0" applyFont="1" applyBorder="1" applyAlignment="1" applyProtection="1">
      <alignment/>
      <protection locked="0"/>
    </xf>
    <xf numFmtId="6" fontId="82" fillId="0" borderId="19" xfId="0" applyNumberFormat="1" applyFont="1" applyBorder="1" applyAlignment="1" applyProtection="1">
      <alignment horizontal="center"/>
      <protection locked="0"/>
    </xf>
    <xf numFmtId="8" fontId="82" fillId="2" borderId="26" xfId="0" applyNumberFormat="1" applyFont="1" applyFill="1" applyBorder="1" applyAlignment="1" applyProtection="1">
      <alignment horizontal="center"/>
      <protection locked="0"/>
    </xf>
    <xf numFmtId="6" fontId="82" fillId="2" borderId="26" xfId="0" applyNumberFormat="1" applyFont="1" applyFill="1" applyBorder="1" applyAlignment="1" applyProtection="1">
      <alignment horizontal="center"/>
      <protection locked="0"/>
    </xf>
    <xf numFmtId="189" fontId="82" fillId="2" borderId="26" xfId="0" applyNumberFormat="1" applyFont="1" applyFill="1" applyBorder="1" applyAlignment="1" applyProtection="1">
      <alignment horizontal="center"/>
      <protection locked="0"/>
    </xf>
    <xf numFmtId="0" fontId="82" fillId="2" borderId="26" xfId="0" applyFont="1" applyFill="1" applyBorder="1" applyAlignment="1" applyProtection="1">
      <alignment horizontal="center"/>
      <protection locked="0"/>
    </xf>
    <xf numFmtId="174" fontId="82" fillId="2" borderId="26" xfId="0" applyNumberFormat="1" applyFont="1" applyFill="1" applyBorder="1" applyAlignment="1" applyProtection="1">
      <alignment horizontal="center"/>
      <protection locked="0"/>
    </xf>
    <xf numFmtId="38" fontId="82" fillId="2" borderId="26" xfId="0" applyNumberFormat="1" applyFont="1" applyFill="1" applyBorder="1" applyAlignment="1" applyProtection="1">
      <alignment horizontal="center"/>
      <protection locked="0"/>
    </xf>
    <xf numFmtId="9" fontId="102" fillId="0" borderId="13" xfId="0" applyNumberFormat="1" applyFont="1" applyBorder="1" applyAlignment="1">
      <alignment horizontal="center" wrapText="1"/>
    </xf>
    <xf numFmtId="0" fontId="0" fillId="0" borderId="0" xfId="0" applyAlignment="1" applyProtection="1">
      <alignment/>
      <protection hidden="1"/>
    </xf>
    <xf numFmtId="0" fontId="74" fillId="0" borderId="0" xfId="53" applyAlignment="1" applyProtection="1">
      <alignment/>
      <protection hidden="1"/>
    </xf>
    <xf numFmtId="0" fontId="111" fillId="0" borderId="0" xfId="0" applyFont="1" applyAlignment="1" applyProtection="1">
      <alignment vertical="top" wrapText="1"/>
      <protection hidden="1"/>
    </xf>
    <xf numFmtId="0" fontId="0" fillId="0" borderId="39" xfId="0" applyBorder="1" applyAlignment="1" applyProtection="1">
      <alignment/>
      <protection hidden="1"/>
    </xf>
    <xf numFmtId="0" fontId="112" fillId="0" borderId="39" xfId="0" applyFont="1" applyBorder="1" applyAlignment="1" applyProtection="1">
      <alignment/>
      <protection hidden="1"/>
    </xf>
    <xf numFmtId="0" fontId="111" fillId="0" borderId="39" xfId="0" applyFont="1" applyBorder="1" applyAlignment="1" applyProtection="1">
      <alignment horizontal="left" vertical="top"/>
      <protection hidden="1"/>
    </xf>
    <xf numFmtId="0" fontId="111" fillId="0" borderId="39" xfId="0" applyFont="1" applyBorder="1" applyAlignment="1" applyProtection="1">
      <alignment horizontal="left" vertical="top" wrapText="1"/>
      <protection hidden="1"/>
    </xf>
    <xf numFmtId="0" fontId="111" fillId="0" borderId="40" xfId="0" applyFont="1" applyBorder="1" applyAlignment="1" applyProtection="1">
      <alignment horizontal="left" vertical="top" wrapText="1"/>
      <protection hidden="1"/>
    </xf>
    <xf numFmtId="0" fontId="82" fillId="0" borderId="0" xfId="0" applyFont="1" applyAlignment="1">
      <alignment horizontal="center" wrapText="1"/>
    </xf>
    <xf numFmtId="0" fontId="95" fillId="0" borderId="13" xfId="53" applyFont="1" applyBorder="1" applyAlignment="1" applyProtection="1">
      <alignment wrapText="1"/>
      <protection/>
    </xf>
    <xf numFmtId="0" fontId="0" fillId="0" borderId="0" xfId="0" applyBorder="1" applyAlignment="1">
      <alignment/>
    </xf>
    <xf numFmtId="0" fontId="82" fillId="0" borderId="26" xfId="0" applyFont="1" applyBorder="1" applyAlignment="1">
      <alignment vertical="top" wrapText="1"/>
    </xf>
    <xf numFmtId="0" fontId="0" fillId="0" borderId="18" xfId="0" applyBorder="1" applyAlignment="1">
      <alignment/>
    </xf>
    <xf numFmtId="0" fontId="0" fillId="0" borderId="10" xfId="0" applyBorder="1" applyAlignment="1">
      <alignment/>
    </xf>
    <xf numFmtId="0" fontId="0" fillId="0" borderId="16" xfId="0" applyBorder="1" applyAlignment="1">
      <alignment/>
    </xf>
    <xf numFmtId="0" fontId="0" fillId="0" borderId="11" xfId="0" applyBorder="1" applyAlignment="1">
      <alignment/>
    </xf>
    <xf numFmtId="0" fontId="0" fillId="0" borderId="12" xfId="0" applyBorder="1" applyAlignment="1">
      <alignment/>
    </xf>
    <xf numFmtId="0" fontId="0" fillId="0" borderId="14" xfId="0" applyBorder="1" applyAlignment="1">
      <alignment/>
    </xf>
    <xf numFmtId="0" fontId="0" fillId="0" borderId="15" xfId="0" applyBorder="1" applyAlignment="1">
      <alignment vertical="top" wrapText="1"/>
    </xf>
    <xf numFmtId="0" fontId="0" fillId="0" borderId="15" xfId="0" applyBorder="1" applyAlignment="1">
      <alignment/>
    </xf>
    <xf numFmtId="0" fontId="0" fillId="0" borderId="17" xfId="0" applyBorder="1" applyAlignment="1">
      <alignment/>
    </xf>
    <xf numFmtId="0" fontId="0" fillId="0" borderId="10" xfId="0" applyBorder="1" applyAlignment="1">
      <alignment vertical="top" wrapText="1"/>
    </xf>
    <xf numFmtId="0" fontId="95" fillId="0" borderId="10" xfId="53" applyFont="1" applyBorder="1" applyAlignment="1" applyProtection="1">
      <alignment horizontal="center"/>
      <protection/>
    </xf>
    <xf numFmtId="0" fontId="105" fillId="0" borderId="10" xfId="0" applyFont="1" applyBorder="1" applyAlignment="1">
      <alignment horizontal="center"/>
    </xf>
    <xf numFmtId="0" fontId="113" fillId="0" borderId="0" xfId="0" applyFont="1" applyBorder="1" applyAlignment="1">
      <alignment horizontal="left" indent="14"/>
    </xf>
    <xf numFmtId="49" fontId="111" fillId="0" borderId="39" xfId="0" applyNumberFormat="1" applyFont="1" applyBorder="1" applyAlignment="1" applyProtection="1">
      <alignment horizontal="left" vertical="top" wrapText="1"/>
      <protection hidden="1"/>
    </xf>
    <xf numFmtId="0" fontId="114" fillId="0" borderId="12" xfId="0" applyFont="1" applyBorder="1" applyAlignment="1">
      <alignment horizontal="left" wrapText="1"/>
    </xf>
    <xf numFmtId="3" fontId="84" fillId="0" borderId="0" xfId="0" applyNumberFormat="1" applyFont="1" applyBorder="1" applyAlignment="1">
      <alignment horizontal="left"/>
    </xf>
    <xf numFmtId="3" fontId="115" fillId="0" borderId="27" xfId="0" applyNumberFormat="1" applyFont="1" applyBorder="1" applyAlignment="1">
      <alignment horizontal="left" indent="2"/>
    </xf>
    <xf numFmtId="0" fontId="87" fillId="0" borderId="22" xfId="0" applyFont="1" applyFill="1" applyBorder="1" applyAlignment="1" applyProtection="1">
      <alignment horizontal="right"/>
      <protection locked="0"/>
    </xf>
    <xf numFmtId="0" fontId="87" fillId="0" borderId="25" xfId="0" applyFont="1" applyFill="1" applyBorder="1" applyAlignment="1" applyProtection="1">
      <alignment horizontal="right"/>
      <protection locked="0"/>
    </xf>
    <xf numFmtId="0" fontId="91" fillId="0" borderId="27" xfId="0" applyFont="1" applyBorder="1" applyAlignment="1">
      <alignment horizontal="center"/>
    </xf>
    <xf numFmtId="0" fontId="91" fillId="0" borderId="0" xfId="0" applyFont="1" applyBorder="1" applyAlignment="1">
      <alignment horizontal="center"/>
    </xf>
    <xf numFmtId="0" fontId="91" fillId="0" borderId="24" xfId="0" applyFont="1" applyBorder="1" applyAlignment="1">
      <alignment horizontal="center"/>
    </xf>
    <xf numFmtId="0" fontId="82" fillId="0" borderId="0" xfId="0" applyFont="1" applyBorder="1" applyAlignment="1">
      <alignment horizontal="left" wrapText="1"/>
    </xf>
    <xf numFmtId="0" fontId="82" fillId="0" borderId="22" xfId="0" applyFont="1" applyBorder="1" applyAlignment="1">
      <alignment horizontal="left" indent="2"/>
    </xf>
    <xf numFmtId="0" fontId="0" fillId="0" borderId="41" xfId="0" applyBorder="1" applyAlignment="1">
      <alignment/>
    </xf>
    <xf numFmtId="0" fontId="0" fillId="0" borderId="0" xfId="0" applyBorder="1" applyAlignment="1">
      <alignment/>
    </xf>
    <xf numFmtId="9" fontId="103" fillId="0" borderId="0" xfId="0" applyNumberFormat="1" applyFont="1" applyFill="1" applyBorder="1" applyAlignment="1">
      <alignment horizontal="center" vertical="center" wrapText="1"/>
    </xf>
    <xf numFmtId="3" fontId="87" fillId="0" borderId="13" xfId="0" applyNumberFormat="1" applyFont="1" applyFill="1" applyBorder="1" applyAlignment="1">
      <alignment horizontal="center" shrinkToFit="1"/>
    </xf>
    <xf numFmtId="6" fontId="83" fillId="0" borderId="36" xfId="0" applyNumberFormat="1" applyFont="1" applyFill="1" applyBorder="1" applyAlignment="1">
      <alignment horizontal="center"/>
    </xf>
    <xf numFmtId="3" fontId="97" fillId="0" borderId="37" xfId="0" applyNumberFormat="1" applyFont="1" applyBorder="1" applyAlignment="1">
      <alignment horizontal="center"/>
    </xf>
    <xf numFmtId="6" fontId="82" fillId="0" borderId="38" xfId="0" applyNumberFormat="1" applyFont="1" applyFill="1" applyBorder="1" applyAlignment="1">
      <alignment horizontal="center"/>
    </xf>
    <xf numFmtId="0" fontId="82" fillId="0" borderId="0" xfId="0" applyFont="1" applyBorder="1" applyAlignment="1">
      <alignment horizontal="left" wrapText="1"/>
    </xf>
    <xf numFmtId="177" fontId="82" fillId="2" borderId="26" xfId="0" applyNumberFormat="1" applyFont="1" applyFill="1" applyBorder="1" applyAlignment="1" applyProtection="1">
      <alignment horizontal="center"/>
      <protection locked="0"/>
    </xf>
    <xf numFmtId="0" fontId="116" fillId="33" borderId="0" xfId="0" applyFont="1" applyFill="1" applyBorder="1" applyAlignment="1">
      <alignment horizontal="left"/>
    </xf>
    <xf numFmtId="3" fontId="82" fillId="0" borderId="23" xfId="0" applyNumberFormat="1" applyFont="1" applyBorder="1" applyAlignment="1">
      <alignment horizontal="center"/>
    </xf>
    <xf numFmtId="9" fontId="82" fillId="2" borderId="26" xfId="59" applyFont="1" applyFill="1" applyBorder="1" applyAlignment="1" applyProtection="1">
      <alignment horizontal="center"/>
      <protection locked="0"/>
    </xf>
    <xf numFmtId="0" fontId="117" fillId="0" borderId="0" xfId="0" applyFont="1" applyBorder="1" applyAlignment="1">
      <alignment horizontal="left"/>
    </xf>
    <xf numFmtId="3" fontId="95" fillId="0" borderId="0" xfId="53" applyNumberFormat="1" applyFont="1" applyFill="1" applyBorder="1" applyAlignment="1" applyProtection="1">
      <alignment/>
      <protection/>
    </xf>
    <xf numFmtId="0" fontId="82" fillId="0" borderId="0" xfId="0" applyFont="1" applyBorder="1" applyAlignment="1">
      <alignment horizontal="left" wrapText="1"/>
    </xf>
    <xf numFmtId="174" fontId="83" fillId="0" borderId="0" xfId="0" applyNumberFormat="1" applyFont="1" applyFill="1" applyBorder="1" applyAlignment="1">
      <alignment horizontal="center"/>
    </xf>
    <xf numFmtId="0" fontId="82" fillId="0" borderId="0" xfId="0" applyFont="1" applyFill="1" applyBorder="1" applyAlignment="1">
      <alignment horizontal="center" textRotation="90"/>
    </xf>
    <xf numFmtId="9" fontId="82" fillId="0" borderId="0" xfId="0" applyNumberFormat="1" applyFont="1" applyFill="1" applyBorder="1" applyAlignment="1">
      <alignment horizontal="center" wrapText="1"/>
    </xf>
    <xf numFmtId="174" fontId="82" fillId="0" borderId="0" xfId="0" applyNumberFormat="1" applyFont="1" applyFill="1" applyBorder="1" applyAlignment="1" applyProtection="1">
      <alignment horizontal="center"/>
      <protection locked="0"/>
    </xf>
    <xf numFmtId="6" fontId="97" fillId="0" borderId="23" xfId="0" applyNumberFormat="1" applyFont="1" applyFill="1" applyBorder="1" applyAlignment="1">
      <alignment horizontal="center"/>
    </xf>
    <xf numFmtId="0" fontId="83" fillId="0" borderId="0" xfId="0" applyFont="1" applyBorder="1" applyAlignment="1">
      <alignment vertical="top"/>
    </xf>
    <xf numFmtId="49" fontId="104" fillId="0" borderId="0" xfId="0" applyNumberFormat="1" applyFont="1" applyBorder="1" applyAlignment="1">
      <alignment horizontal="right" indent="4"/>
    </xf>
    <xf numFmtId="0" fontId="82" fillId="0" borderId="0" xfId="0" applyFont="1" applyBorder="1" applyAlignment="1">
      <alignment shrinkToFit="1"/>
    </xf>
    <xf numFmtId="177" fontId="82" fillId="0" borderId="0" xfId="0" applyNumberFormat="1" applyFont="1" applyBorder="1" applyAlignment="1">
      <alignment horizontal="center"/>
    </xf>
    <xf numFmtId="0" fontId="95" fillId="0" borderId="0" xfId="53" applyFont="1" applyAlignment="1" applyProtection="1">
      <alignment/>
      <protection/>
    </xf>
    <xf numFmtId="0" fontId="74" fillId="0" borderId="39" xfId="53" applyBorder="1" applyAlignment="1" applyProtection="1">
      <alignment horizontal="left" indent="1"/>
      <protection hidden="1"/>
    </xf>
    <xf numFmtId="0" fontId="113" fillId="0" borderId="0" xfId="0" applyFont="1" applyBorder="1" applyAlignment="1">
      <alignment horizontal="left" indent="15"/>
    </xf>
    <xf numFmtId="0" fontId="113" fillId="0" borderId="0" xfId="0" applyFont="1" applyBorder="1" applyAlignment="1">
      <alignment horizontal="left" indent="16"/>
    </xf>
    <xf numFmtId="0" fontId="118" fillId="0" borderId="42" xfId="0" applyFont="1" applyBorder="1" applyAlignment="1" applyProtection="1">
      <alignment horizontal="left" indent="16"/>
      <protection hidden="1"/>
    </xf>
    <xf numFmtId="0" fontId="91" fillId="0" borderId="0" xfId="0" applyFont="1" applyBorder="1" applyAlignment="1">
      <alignment horizontal="left" indent="18"/>
    </xf>
    <xf numFmtId="0" fontId="91" fillId="0" borderId="0" xfId="0" applyFont="1" applyBorder="1" applyAlignment="1">
      <alignment horizontal="left" indent="15"/>
    </xf>
    <xf numFmtId="0" fontId="91" fillId="0" borderId="0" xfId="0" applyFont="1" applyBorder="1" applyAlignment="1">
      <alignment horizontal="left" indent="14"/>
    </xf>
    <xf numFmtId="0" fontId="82" fillId="0" borderId="0" xfId="0" applyFont="1" applyBorder="1" applyAlignment="1">
      <alignment horizontal="left" wrapText="1"/>
    </xf>
    <xf numFmtId="0" fontId="82" fillId="0" borderId="0" xfId="0" applyFont="1" applyFill="1" applyBorder="1" applyAlignment="1">
      <alignment horizontal="left" indent="3"/>
    </xf>
    <xf numFmtId="6" fontId="82" fillId="0" borderId="0" xfId="0" applyNumberFormat="1" applyFont="1" applyBorder="1" applyAlignment="1">
      <alignment/>
    </xf>
    <xf numFmtId="9" fontId="82" fillId="0" borderId="0" xfId="0" applyNumberFormat="1" applyFont="1" applyFill="1" applyBorder="1" applyAlignment="1">
      <alignment horizontal="left"/>
    </xf>
    <xf numFmtId="0" fontId="83" fillId="0" borderId="0" xfId="0" applyFont="1" applyBorder="1" applyAlignment="1">
      <alignment horizontal="left" indent="3"/>
    </xf>
    <xf numFmtId="9" fontId="86" fillId="0" borderId="0" xfId="0" applyNumberFormat="1" applyFont="1" applyFill="1" applyBorder="1" applyAlignment="1">
      <alignment horizontal="center"/>
    </xf>
    <xf numFmtId="0" fontId="95" fillId="0" borderId="0" xfId="53" applyFont="1" applyAlignment="1" applyProtection="1">
      <alignment horizontal="center"/>
      <protection/>
    </xf>
    <xf numFmtId="0" fontId="82" fillId="0" borderId="0" xfId="0" applyFont="1" applyBorder="1" applyAlignment="1">
      <alignment horizontal="left" wrapText="1"/>
    </xf>
    <xf numFmtId="6" fontId="83" fillId="0" borderId="13" xfId="0" applyNumberFormat="1" applyFont="1" applyFill="1" applyBorder="1" applyAlignment="1">
      <alignment horizontal="centerContinuous"/>
    </xf>
    <xf numFmtId="0" fontId="0" fillId="0" borderId="13" xfId="0" applyBorder="1" applyAlignment="1">
      <alignment horizontal="centerContinuous"/>
    </xf>
    <xf numFmtId="3" fontId="13" fillId="0" borderId="13" xfId="53" applyNumberFormat="1" applyFont="1" applyFill="1" applyBorder="1" applyAlignment="1" applyProtection="1">
      <alignment horizontal="centerContinuous"/>
      <protection/>
    </xf>
    <xf numFmtId="3" fontId="95" fillId="0" borderId="0" xfId="53" applyNumberFormat="1" applyFont="1" applyFill="1" applyBorder="1" applyAlignment="1" applyProtection="1">
      <alignment horizontal="centerContinuous"/>
      <protection/>
    </xf>
    <xf numFmtId="0" fontId="87" fillId="0" borderId="22" xfId="0" applyFont="1" applyFill="1" applyBorder="1" applyAlignment="1" applyProtection="1">
      <alignment horizontal="right" shrinkToFit="1"/>
      <protection locked="0"/>
    </xf>
    <xf numFmtId="0" fontId="82" fillId="0" borderId="0" xfId="0" applyFont="1" applyBorder="1" applyAlignment="1">
      <alignment horizontal="left" wrapText="1"/>
    </xf>
    <xf numFmtId="9" fontId="95" fillId="0" borderId="0" xfId="53" applyNumberFormat="1" applyFont="1" applyBorder="1" applyAlignment="1" applyProtection="1">
      <alignment horizontal="center" wrapText="1"/>
      <protection/>
    </xf>
    <xf numFmtId="9" fontId="102" fillId="0" borderId="0" xfId="0" applyNumberFormat="1" applyFont="1" applyBorder="1" applyAlignment="1">
      <alignment horizontal="center" wrapText="1"/>
    </xf>
    <xf numFmtId="3" fontId="95" fillId="0" borderId="13" xfId="53" applyNumberFormat="1" applyFont="1" applyFill="1" applyBorder="1" applyAlignment="1" applyProtection="1">
      <alignment horizontal="centerContinuous"/>
      <protection/>
    </xf>
    <xf numFmtId="0" fontId="82" fillId="0" borderId="13" xfId="0" applyFont="1" applyFill="1" applyBorder="1" applyAlignment="1">
      <alignment horizontal="centerContinuous"/>
    </xf>
    <xf numFmtId="6" fontId="82" fillId="0" borderId="13" xfId="0" applyNumberFormat="1" applyFont="1" applyFill="1" applyBorder="1" applyAlignment="1">
      <alignment horizontal="centerContinuous"/>
    </xf>
    <xf numFmtId="0" fontId="82" fillId="0" borderId="0" xfId="0" applyFont="1" applyFill="1" applyBorder="1" applyAlignment="1">
      <alignment horizontal="centerContinuous"/>
    </xf>
    <xf numFmtId="6" fontId="82" fillId="0" borderId="0" xfId="0" applyNumberFormat="1" applyFont="1" applyFill="1" applyBorder="1" applyAlignment="1">
      <alignment horizontal="centerContinuous"/>
    </xf>
    <xf numFmtId="0" fontId="107" fillId="0" borderId="22" xfId="0" applyFont="1" applyBorder="1" applyAlignment="1">
      <alignment horizontal="left" indent="2"/>
    </xf>
    <xf numFmtId="199" fontId="82" fillId="0" borderId="0" xfId="0" applyNumberFormat="1" applyFont="1" applyFill="1" applyBorder="1" applyAlignment="1">
      <alignment horizontal="center"/>
    </xf>
    <xf numFmtId="199" fontId="82" fillId="0" borderId="0" xfId="0" applyNumberFormat="1" applyFont="1" applyBorder="1" applyAlignment="1">
      <alignment/>
    </xf>
    <xf numFmtId="9" fontId="82" fillId="0" borderId="13" xfId="0" applyNumberFormat="1" applyFont="1" applyBorder="1" applyAlignment="1">
      <alignment horizontal="centerContinuous" wrapText="1"/>
    </xf>
    <xf numFmtId="0" fontId="82" fillId="0" borderId="13" xfId="0" applyFont="1" applyBorder="1" applyAlignment="1">
      <alignment horizontal="centerContinuous"/>
    </xf>
    <xf numFmtId="3" fontId="82" fillId="0" borderId="13" xfId="0" applyNumberFormat="1" applyFont="1" applyFill="1" applyBorder="1" applyAlignment="1">
      <alignment horizontal="centerContinuous" wrapText="1"/>
    </xf>
    <xf numFmtId="199" fontId="82" fillId="2" borderId="26" xfId="0" applyNumberFormat="1" applyFont="1" applyFill="1" applyBorder="1" applyAlignment="1" applyProtection="1">
      <alignment horizontal="center"/>
      <protection locked="0"/>
    </xf>
    <xf numFmtId="9" fontId="82" fillId="2" borderId="26" xfId="59" applyNumberFormat="1" applyFont="1" applyFill="1" applyBorder="1" applyAlignment="1" applyProtection="1">
      <alignment horizontal="center"/>
      <protection locked="0"/>
    </xf>
    <xf numFmtId="200" fontId="82" fillId="2" borderId="26" xfId="0" applyNumberFormat="1" applyFont="1" applyFill="1" applyBorder="1" applyAlignment="1" applyProtection="1">
      <alignment horizontal="center"/>
      <protection locked="0"/>
    </xf>
    <xf numFmtId="200" fontId="82" fillId="0" borderId="0" xfId="0" applyNumberFormat="1" applyFont="1" applyFill="1" applyBorder="1" applyAlignment="1">
      <alignment horizontal="center"/>
    </xf>
    <xf numFmtId="200" fontId="82" fillId="0" borderId="0" xfId="0" applyNumberFormat="1" applyFont="1" applyFill="1" applyBorder="1" applyAlignment="1">
      <alignment/>
    </xf>
    <xf numFmtId="200" fontId="82" fillId="0" borderId="0" xfId="0" applyNumberFormat="1" applyFont="1" applyBorder="1" applyAlignment="1">
      <alignment/>
    </xf>
    <xf numFmtId="0" fontId="44" fillId="0" borderId="0" xfId="0" applyFont="1" applyBorder="1" applyAlignment="1">
      <alignment horizontal="left" vertical="top" wrapText="1"/>
    </xf>
    <xf numFmtId="0" fontId="82" fillId="0" borderId="0" xfId="0" applyFont="1" applyBorder="1" applyAlignment="1">
      <alignment horizontal="left" wrapText="1"/>
    </xf>
    <xf numFmtId="0" fontId="91" fillId="0" borderId="27" xfId="0" applyFont="1" applyBorder="1" applyAlignment="1">
      <alignment horizontal="center"/>
    </xf>
    <xf numFmtId="0" fontId="91" fillId="0" borderId="0" xfId="0" applyFont="1" applyBorder="1" applyAlignment="1">
      <alignment horizontal="center"/>
    </xf>
    <xf numFmtId="0" fontId="91" fillId="0" borderId="24" xfId="0" applyFont="1" applyBorder="1" applyAlignment="1">
      <alignment horizontal="center"/>
    </xf>
    <xf numFmtId="0" fontId="119" fillId="0" borderId="22" xfId="53" applyFont="1" applyBorder="1" applyAlignment="1" applyProtection="1">
      <alignment horizontal="left" vertical="top" wrapText="1"/>
      <protection/>
    </xf>
    <xf numFmtId="0" fontId="119" fillId="0" borderId="0" xfId="53" applyFont="1" applyBorder="1" applyAlignment="1" applyProtection="1">
      <alignment horizontal="left" vertical="top" wrapText="1"/>
      <protection/>
    </xf>
    <xf numFmtId="0" fontId="120" fillId="0" borderId="27" xfId="0" applyFont="1" applyBorder="1" applyAlignment="1">
      <alignment horizontal="left" vertical="top" wrapText="1"/>
    </xf>
    <xf numFmtId="0" fontId="120" fillId="0" borderId="0" xfId="0" applyFont="1" applyBorder="1" applyAlignment="1">
      <alignment horizontal="left" vertical="top" wrapText="1"/>
    </xf>
    <xf numFmtId="0" fontId="120" fillId="0" borderId="24" xfId="0" applyFont="1" applyBorder="1" applyAlignment="1">
      <alignment horizontal="left" vertical="top" wrapText="1"/>
    </xf>
    <xf numFmtId="0" fontId="0" fillId="0" borderId="27" xfId="0" applyBorder="1" applyAlignment="1">
      <alignment vertical="top" wrapText="1"/>
    </xf>
    <xf numFmtId="0" fontId="0" fillId="0" borderId="0" xfId="0" applyAlignment="1">
      <alignment vertical="top" wrapText="1"/>
    </xf>
    <xf numFmtId="0" fontId="0" fillId="0" borderId="24" xfId="0" applyBorder="1" applyAlignment="1">
      <alignment vertical="top" wrapText="1"/>
    </xf>
    <xf numFmtId="0" fontId="82" fillId="0" borderId="0" xfId="0" applyFont="1" applyBorder="1" applyAlignment="1">
      <alignment horizontal="left"/>
    </xf>
    <xf numFmtId="0" fontId="0" fillId="0" borderId="0" xfId="0" applyAlignment="1">
      <alignment horizontal="left"/>
    </xf>
    <xf numFmtId="0" fontId="83" fillId="0" borderId="13" xfId="0" applyFont="1" applyBorder="1" applyAlignment="1">
      <alignment horizontal="center"/>
    </xf>
    <xf numFmtId="3" fontId="95" fillId="0" borderId="0" xfId="53" applyNumberFormat="1" applyFont="1" applyFill="1" applyBorder="1" applyAlignment="1" applyProtection="1">
      <alignment horizontal="center"/>
      <protection/>
    </xf>
    <xf numFmtId="0" fontId="82" fillId="0" borderId="22" xfId="0" applyFont="1" applyBorder="1" applyAlignment="1">
      <alignment horizontal="left" wrapText="1" indent="1"/>
    </xf>
    <xf numFmtId="0" fontId="82" fillId="0" borderId="0" xfId="0" applyFont="1" applyBorder="1" applyAlignment="1">
      <alignment horizontal="left" wrapText="1" indent="1"/>
    </xf>
    <xf numFmtId="0" fontId="82" fillId="0" borderId="24" xfId="0" applyFont="1" applyBorder="1" applyAlignment="1">
      <alignment horizontal="left" wrapText="1" indent="1"/>
    </xf>
    <xf numFmtId="0" fontId="97" fillId="0" borderId="0" xfId="0" applyFont="1" applyBorder="1" applyAlignment="1">
      <alignment horizontal="left" vertical="top" wrapText="1"/>
    </xf>
    <xf numFmtId="9" fontId="95" fillId="0" borderId="0" xfId="53" applyNumberFormat="1" applyFont="1" applyBorder="1" applyAlignment="1" applyProtection="1">
      <alignment horizontal="center" wrapText="1"/>
      <protection/>
    </xf>
    <xf numFmtId="189" fontId="82" fillId="2" borderId="36" xfId="0" applyNumberFormat="1" applyFont="1" applyFill="1" applyBorder="1" applyAlignment="1" applyProtection="1">
      <alignment horizontal="center" vertical="center"/>
      <protection locked="0"/>
    </xf>
    <xf numFmtId="189" fontId="82" fillId="2" borderId="37" xfId="0" applyNumberFormat="1" applyFont="1" applyFill="1" applyBorder="1" applyAlignment="1" applyProtection="1">
      <alignment horizontal="center" vertical="center"/>
      <protection locked="0"/>
    </xf>
    <xf numFmtId="189" fontId="82" fillId="2" borderId="38" xfId="0" applyNumberFormat="1" applyFont="1" applyFill="1" applyBorder="1" applyAlignment="1" applyProtection="1">
      <alignment horizontal="center" vertical="center"/>
      <protection locked="0"/>
    </xf>
    <xf numFmtId="9" fontId="82" fillId="2" borderId="36" xfId="0" applyNumberFormat="1" applyFont="1" applyFill="1" applyBorder="1" applyAlignment="1" applyProtection="1">
      <alignment horizontal="center" vertical="center"/>
      <protection locked="0"/>
    </xf>
    <xf numFmtId="0" fontId="82" fillId="2" borderId="37" xfId="0" applyFont="1" applyFill="1" applyBorder="1" applyAlignment="1" applyProtection="1">
      <alignment horizontal="center" vertical="center"/>
      <protection locked="0"/>
    </xf>
    <xf numFmtId="0" fontId="82" fillId="2" borderId="38" xfId="0" applyFont="1" applyFill="1" applyBorder="1" applyAlignment="1" applyProtection="1">
      <alignment horizontal="center" vertical="center"/>
      <protection locked="0"/>
    </xf>
    <xf numFmtId="0" fontId="82" fillId="0" borderId="26"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name val="Cambria"/>
        <color theme="0"/>
      </font>
      <fill>
        <patternFill patternType="none">
          <bgColor indexed="65"/>
        </patternFill>
      </fill>
    </dxf>
    <dxf>
      <fill>
        <patternFill>
          <bgColor rgb="FFFF0000"/>
        </patternFill>
      </fill>
    </dxf>
    <dxf>
      <fill>
        <patternFill>
          <bgColor rgb="FFFF0000"/>
        </patternFill>
      </fill>
    </dxf>
    <dxf>
      <font>
        <color theme="0"/>
      </font>
      <fill>
        <patternFill patternType="none">
          <bgColor indexed="65"/>
        </patternFill>
      </fill>
      <border>
        <left/>
        <right/>
        <top/>
        <bottom/>
      </border>
    </dxf>
    <dxf>
      <font>
        <color theme="0"/>
      </font>
      <fill>
        <patternFill patternType="none">
          <bgColor indexed="65"/>
        </patternFill>
      </fill>
      <border>
        <left>
          <color rgb="FF000000"/>
        </left>
        <right>
          <color rgb="FF000000"/>
        </right>
        <top>
          <color rgb="FF000000"/>
        </top>
        <bottom>
          <color rgb="FF000000"/>
        </bottom>
      </border>
    </dxf>
    <dxf>
      <font>
        <color theme="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425"/>
          <c:y val="0.0755"/>
          <c:w val="0.6695"/>
          <c:h val="0.806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558ED5"/>
              </a:solidFill>
              <a:ln w="3175">
                <a:noFill/>
              </a:ln>
            </c:spPr>
          </c:dPt>
          <c:dPt>
            <c:idx val="1"/>
            <c:invertIfNegative val="0"/>
            <c:spPr>
              <a:solidFill>
                <a:srgbClr val="B9CDE5"/>
              </a:solidFill>
              <a:ln w="3175">
                <a:noFill/>
              </a:ln>
            </c:spPr>
          </c:dPt>
          <c:dPt>
            <c:idx val="2"/>
            <c:invertIfNegative val="0"/>
            <c:spPr>
              <a:solidFill>
                <a:srgbClr val="FCD5B5"/>
              </a:solidFill>
              <a:ln w="3175">
                <a:noFill/>
              </a:ln>
            </c:spPr>
          </c:dPt>
          <c:dPt>
            <c:idx val="3"/>
            <c:invertIfNegative val="0"/>
            <c:spPr>
              <a:solidFill>
                <a:srgbClr val="FAC090"/>
              </a:solidFill>
              <a:ln w="3175">
                <a:noFill/>
              </a:ln>
            </c:spPr>
          </c:dPt>
          <c:dPt>
            <c:idx val="4"/>
            <c:invertIfNegative val="0"/>
            <c:spPr>
              <a:solidFill>
                <a:srgbClr val="E46C0A"/>
              </a:solidFill>
              <a:ln w="3175">
                <a:noFill/>
              </a:ln>
            </c:spPr>
          </c:dPt>
          <c:dLbls>
            <c:numFmt formatCode="General" sourceLinked="1"/>
            <c:spPr>
              <a:noFill/>
              <a:ln w="3175">
                <a:noFill/>
              </a:ln>
            </c:spPr>
            <c:dLblPos val="outEnd"/>
            <c:showLegendKey val="0"/>
            <c:showVal val="1"/>
            <c:showBubbleSize val="0"/>
            <c:showCatName val="0"/>
            <c:showSerName val="0"/>
            <c:showPercent val="0"/>
          </c:dLbls>
          <c:cat>
            <c:strRef>
              <c:f>Main!$C$104:$C$108</c:f>
              <c:strCache/>
            </c:strRef>
          </c:cat>
          <c:val>
            <c:numRef>
              <c:f>Main!$D$104:$D$108</c:f>
              <c:numCache/>
            </c:numRef>
          </c:val>
        </c:ser>
        <c:axId val="59464059"/>
        <c:axId val="65414484"/>
      </c:barChart>
      <c:catAx>
        <c:axId val="59464059"/>
        <c:scaling>
          <c:orientation val="minMax"/>
        </c:scaling>
        <c:axPos val="l"/>
        <c:delete val="0"/>
        <c:numFmt formatCode="General" sourceLinked="1"/>
        <c:majorTickMark val="none"/>
        <c:minorTickMark val="none"/>
        <c:tickLblPos val="nextTo"/>
        <c:spPr>
          <a:ln w="3175">
            <a:solidFill>
              <a:srgbClr val="808080"/>
            </a:solidFill>
          </a:ln>
        </c:spPr>
        <c:crossAx val="65414484"/>
        <c:crosses val="autoZero"/>
        <c:auto val="1"/>
        <c:lblOffset val="100"/>
        <c:tickLblSkip val="1"/>
        <c:noMultiLvlLbl val="0"/>
      </c:catAx>
      <c:valAx>
        <c:axId val="65414484"/>
        <c:scaling>
          <c:orientation val="minMax"/>
        </c:scaling>
        <c:axPos val="b"/>
        <c:delete val="1"/>
        <c:majorTickMark val="out"/>
        <c:minorTickMark val="none"/>
        <c:tickLblPos val="nextTo"/>
        <c:crossAx val="59464059"/>
        <c:crossesAt val="1"/>
        <c:crossBetween val="between"/>
        <c:dispUnits/>
      </c:valAx>
      <c:spPr>
        <a:solidFill>
          <a:srgbClr val="FFFFFF"/>
        </a:solidFill>
        <a:ln w="3175">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
          <c:y val="0.18625"/>
          <c:w val="0.31925"/>
          <c:h val="0.552"/>
        </c:manualLayout>
      </c:layout>
      <c:pieChart>
        <c:varyColors val="1"/>
        <c:ser>
          <c:idx val="0"/>
          <c:order val="0"/>
          <c:spPr>
            <a:solidFill>
              <a:srgbClr val="F79646"/>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B843D"/>
              </a:solidFill>
              <a:ln w="3175">
                <a:noFill/>
              </a:ln>
            </c:spPr>
          </c:dPt>
          <c:dPt>
            <c:idx val="1"/>
            <c:spPr>
              <a:solidFill>
                <a:srgbClr val="F9B590"/>
              </a:solidFill>
              <a:ln w="3175">
                <a:noFill/>
              </a:ln>
            </c:spPr>
          </c:dPt>
          <c:cat>
            <c:strRef>
              <c:f>Main!$C$113:$C$114</c:f>
              <c:strCache/>
            </c:strRef>
          </c:cat>
          <c:val>
            <c:numRef>
              <c:f>Main!$D$113:$D$114</c:f>
              <c:numCache/>
            </c:numRef>
          </c:val>
        </c:ser>
      </c:pieChart>
      <c:spPr>
        <a:noFill/>
        <a:ln>
          <a:noFill/>
        </a:ln>
      </c:spPr>
    </c:plotArea>
    <c:legend>
      <c:legendPos val="r"/>
      <c:layout>
        <c:manualLayout>
          <c:xMode val="edge"/>
          <c:yMode val="edge"/>
          <c:x val="0.42775"/>
          <c:y val="0.196"/>
          <c:w val="0.45325"/>
          <c:h val="0.21075"/>
        </c:manualLayout>
      </c:layout>
      <c:overlay val="0"/>
      <c:spPr>
        <a:noFill/>
        <a:ln w="3175">
          <a:noFill/>
        </a:ln>
      </c:spPr>
      <c:txPr>
        <a:bodyPr vert="horz" rot="0"/>
        <a:lstStyle/>
        <a:p>
          <a:pPr>
            <a:defRPr lang="en-US" cap="none" sz="755"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75"/>
          <c:y val="0.232"/>
          <c:w val="0.32425"/>
          <c:h val="0.563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65A86"/>
              </a:solidFill>
              <a:ln w="3175">
                <a:noFill/>
              </a:ln>
            </c:spPr>
          </c:dPt>
          <c:dPt>
            <c:idx val="1"/>
            <c:spPr>
              <a:solidFill>
                <a:srgbClr val="40699C"/>
              </a:solidFill>
              <a:ln w="3175">
                <a:noFill/>
              </a:ln>
            </c:spPr>
          </c:dPt>
          <c:dPt>
            <c:idx val="2"/>
            <c:spPr>
              <a:solidFill>
                <a:srgbClr val="4876AD"/>
              </a:solidFill>
              <a:ln w="3175">
                <a:noFill/>
              </a:ln>
            </c:spPr>
          </c:dPt>
          <c:dPt>
            <c:idx val="3"/>
            <c:spPr>
              <a:solidFill>
                <a:srgbClr val="4F81BD"/>
              </a:solidFill>
              <a:ln w="3175">
                <a:noFill/>
              </a:ln>
            </c:spPr>
          </c:dPt>
          <c:dPt>
            <c:idx val="4"/>
            <c:spPr>
              <a:solidFill>
                <a:srgbClr val="85A0CA"/>
              </a:solidFill>
              <a:ln w="3175">
                <a:noFill/>
              </a:ln>
            </c:spPr>
          </c:dPt>
          <c:dPt>
            <c:idx val="5"/>
            <c:spPr>
              <a:solidFill>
                <a:srgbClr val="AABAD7"/>
              </a:solidFill>
              <a:ln w="3175">
                <a:noFill/>
              </a:ln>
            </c:spPr>
          </c:dPt>
          <c:dPt>
            <c:idx val="6"/>
            <c:spPr>
              <a:solidFill>
                <a:srgbClr val="C5CFE2"/>
              </a:solidFill>
              <a:ln w="3175">
                <a:noFill/>
              </a:ln>
            </c:spPr>
          </c:dPt>
          <c:cat>
            <c:strRef>
              <c:f>'2) Co-Location'!$C$9:$C$15</c:f>
              <c:strCache>
                <c:ptCount val="7"/>
                <c:pt idx="0">
                  <c:v>2.1  Server Hardware</c:v>
                </c:pt>
                <c:pt idx="1">
                  <c:v>2.2  Network Hardware</c:v>
                </c:pt>
                <c:pt idx="2">
                  <c:v>2.3  Hardware Maintenance</c:v>
                </c:pt>
                <c:pt idx="3">
                  <c:v>2.4 Operating System</c:v>
                </c:pt>
                <c:pt idx="4">
                  <c:v>2.5  Co-Location Expense</c:v>
                </c:pt>
                <c:pt idx="5">
                  <c:v>2.6  Remote Hands Support</c:v>
                </c:pt>
                <c:pt idx="6">
                  <c:v>2.7  Data Transfer</c:v>
                </c:pt>
              </c:strCache>
            </c:strRef>
          </c:cat>
          <c:val>
            <c:numRef>
              <c:f>'2) Co-Location'!$D$9:$D$15</c:f>
              <c:numCache>
                <c:ptCount val="7"/>
                <c:pt idx="0">
                  <c:v>121000</c:v>
                </c:pt>
                <c:pt idx="1">
                  <c:v>24200</c:v>
                </c:pt>
                <c:pt idx="2">
                  <c:v>43560</c:v>
                </c:pt>
                <c:pt idx="3">
                  <c:v>0</c:v>
                </c:pt>
                <c:pt idx="4">
                  <c:v>968576</c:v>
                </c:pt>
                <c:pt idx="5">
                  <c:v>15000</c:v>
                </c:pt>
                <c:pt idx="6">
                  <c:v>23109.94535519126</c:v>
                </c:pt>
              </c:numCache>
            </c:numRef>
          </c:val>
        </c:ser>
      </c:pieChart>
      <c:spPr>
        <a:noFill/>
        <a:ln>
          <a:noFill/>
        </a:ln>
      </c:spPr>
    </c:plotArea>
    <c:legend>
      <c:legendPos val="r"/>
      <c:layout>
        <c:manualLayout>
          <c:xMode val="edge"/>
          <c:yMode val="edge"/>
          <c:x val="0.371"/>
          <c:y val="0.14275"/>
          <c:w val="0.6035"/>
          <c:h val="0.58625"/>
        </c:manualLayout>
      </c:layout>
      <c:overlay val="0"/>
      <c:spPr>
        <a:noFill/>
        <a:ln w="3175">
          <a:noFill/>
        </a:ln>
      </c:spPr>
      <c:txPr>
        <a:bodyPr vert="horz" rot="0"/>
        <a:lstStyle/>
        <a:p>
          <a:pPr>
            <a:defRPr lang="en-US" cap="none" sz="755"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75"/>
          <c:y val="0.232"/>
          <c:w val="0.32425"/>
          <c:h val="0.563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55984"/>
              </a:solidFill>
              <a:ln w="3175">
                <a:noFill/>
              </a:ln>
            </c:spPr>
          </c:dPt>
          <c:dPt>
            <c:idx val="1"/>
            <c:spPr>
              <a:solidFill>
                <a:srgbClr val="3E6697"/>
              </a:solidFill>
              <a:ln w="3175">
                <a:noFill/>
              </a:ln>
            </c:spPr>
          </c:dPt>
          <c:dPt>
            <c:idx val="2"/>
            <c:spPr>
              <a:solidFill>
                <a:srgbClr val="4572A7"/>
              </a:solidFill>
              <a:ln w="3175">
                <a:noFill/>
              </a:ln>
            </c:spPr>
          </c:dPt>
          <c:dPt>
            <c:idx val="3"/>
            <c:spPr>
              <a:solidFill>
                <a:srgbClr val="4C7CB6"/>
              </a:solidFill>
              <a:ln w="3175">
                <a:noFill/>
              </a:ln>
            </c:spPr>
          </c:dPt>
          <c:dPt>
            <c:idx val="4"/>
            <c:spPr>
              <a:solidFill>
                <a:srgbClr val="6A8FC3"/>
              </a:solidFill>
              <a:ln w="3175">
                <a:noFill/>
              </a:ln>
            </c:spPr>
          </c:dPt>
          <c:dPt>
            <c:idx val="5"/>
            <c:spPr>
              <a:solidFill>
                <a:srgbClr val="93A9CF"/>
              </a:solidFill>
              <a:ln w="3175">
                <a:noFill/>
              </a:ln>
            </c:spPr>
          </c:dPt>
          <c:dPt>
            <c:idx val="6"/>
            <c:spPr>
              <a:solidFill>
                <a:srgbClr val="AFBED9"/>
              </a:solidFill>
              <a:ln w="3175">
                <a:noFill/>
              </a:ln>
            </c:spPr>
          </c:dPt>
          <c:dPt>
            <c:idx val="7"/>
            <c:spPr>
              <a:solidFill>
                <a:srgbClr val="C8D1E4"/>
              </a:solidFill>
              <a:ln w="3175">
                <a:noFill/>
              </a:ln>
            </c:spPr>
          </c:dPt>
          <c:cat>
            <c:strRef>
              <c:f>'3) On-Site'!$C$9:$C$16</c:f>
              <c:strCache>
                <c:ptCount val="8"/>
                <c:pt idx="0">
                  <c:v>3.1  Server Hardware</c:v>
                </c:pt>
                <c:pt idx="1">
                  <c:v>3.2  Network Hardware</c:v>
                </c:pt>
                <c:pt idx="2">
                  <c:v>3.3  Hardware Maintenance</c:v>
                </c:pt>
                <c:pt idx="3">
                  <c:v>3.4  Operating System</c:v>
                </c:pt>
                <c:pt idx="4">
                  <c:v>3. 5  Power and Cooling</c:v>
                </c:pt>
                <c:pt idx="5">
                  <c:v>3.6  Data Center Construction</c:v>
                </c:pt>
                <c:pt idx="6">
                  <c:v>3.7  Administration</c:v>
                </c:pt>
                <c:pt idx="7">
                  <c:v>3.8  Data Transfer</c:v>
                </c:pt>
              </c:strCache>
            </c:strRef>
          </c:cat>
          <c:val>
            <c:numRef>
              <c:f>'3) On-Site'!$D$9:$D$16</c:f>
              <c:numCache>
                <c:ptCount val="8"/>
                <c:pt idx="0">
                  <c:v>121000</c:v>
                </c:pt>
                <c:pt idx="1">
                  <c:v>24200</c:v>
                </c:pt>
                <c:pt idx="2">
                  <c:v>43560</c:v>
                </c:pt>
                <c:pt idx="3">
                  <c:v>0</c:v>
                </c:pt>
                <c:pt idx="4">
                  <c:v>147420</c:v>
                </c:pt>
                <c:pt idx="5">
                  <c:v>128200</c:v>
                </c:pt>
                <c:pt idx="6">
                  <c:v>2100000</c:v>
                </c:pt>
                <c:pt idx="7">
                  <c:v>8253.551912568306</c:v>
                </c:pt>
              </c:numCache>
            </c:numRef>
          </c:val>
        </c:ser>
      </c:pieChart>
      <c:spPr>
        <a:noFill/>
        <a:ln>
          <a:noFill/>
        </a:ln>
      </c:spPr>
    </c:plotArea>
    <c:legend>
      <c:legendPos val="r"/>
      <c:layout>
        <c:manualLayout>
          <c:xMode val="edge"/>
          <c:yMode val="edge"/>
          <c:x val="0.3655"/>
          <c:y val="0.11325"/>
          <c:w val="0.6035"/>
          <c:h val="0.7635"/>
        </c:manualLayout>
      </c:layout>
      <c:overlay val="0"/>
      <c:spPr>
        <a:noFill/>
        <a:ln w="3175">
          <a:noFill/>
        </a:ln>
      </c:spPr>
      <c:txPr>
        <a:bodyPr vert="horz" rot="0"/>
        <a:lstStyle/>
        <a:p>
          <a:pPr>
            <a:defRPr lang="en-US" cap="none" sz="755"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28575</xdr:colOff>
      <xdr:row>1</xdr:row>
      <xdr:rowOff>47625</xdr:rowOff>
    </xdr:from>
    <xdr:to>
      <xdr:col>1</xdr:col>
      <xdr:colOff>1333500</xdr:colOff>
      <xdr:row>3</xdr:row>
      <xdr:rowOff>47625</xdr:rowOff>
    </xdr:to>
    <xdr:pic>
      <xdr:nvPicPr>
        <xdr:cNvPr id="1" name="Picture 2" descr="AWS.jpeg"/>
        <xdr:cNvPicPr preferRelativeResize="1">
          <a:picLocks noChangeAspect="1"/>
        </xdr:cNvPicPr>
      </xdr:nvPicPr>
      <xdr:blipFill>
        <a:blip r:embed="rId1"/>
        <a:stretch>
          <a:fillRect/>
        </a:stretch>
      </xdr:blipFill>
      <xdr:spPr>
        <a:xfrm>
          <a:off x="314325" y="247650"/>
          <a:ext cx="130492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85725</xdr:colOff>
      <xdr:row>11</xdr:row>
      <xdr:rowOff>9525</xdr:rowOff>
    </xdr:from>
    <xdr:to>
      <xdr:col>16</xdr:col>
      <xdr:colOff>19050</xdr:colOff>
      <xdr:row>20</xdr:row>
      <xdr:rowOff>171450</xdr:rowOff>
    </xdr:to>
    <xdr:graphicFrame>
      <xdr:nvGraphicFramePr>
        <xdr:cNvPr id="1" name="Chart 12"/>
        <xdr:cNvGraphicFramePr/>
      </xdr:nvGraphicFramePr>
      <xdr:xfrm>
        <a:off x="4695825" y="2381250"/>
        <a:ext cx="4762500" cy="1790700"/>
      </xdr:xfrm>
      <a:graphic>
        <a:graphicData uri="http://schemas.openxmlformats.org/drawingml/2006/chart">
          <c:chart xmlns:c="http://schemas.openxmlformats.org/drawingml/2006/chart" r:id="rId1"/>
        </a:graphicData>
      </a:graphic>
    </xdr:graphicFrame>
    <xdr:clientData/>
  </xdr:twoCellAnchor>
  <xdr:twoCellAnchor editAs="absolute">
    <xdr:from>
      <xdr:col>9</xdr:col>
      <xdr:colOff>190500</xdr:colOff>
      <xdr:row>28</xdr:row>
      <xdr:rowOff>9525</xdr:rowOff>
    </xdr:from>
    <xdr:to>
      <xdr:col>15</xdr:col>
      <xdr:colOff>609600</xdr:colOff>
      <xdr:row>39</xdr:row>
      <xdr:rowOff>66675</xdr:rowOff>
    </xdr:to>
    <xdr:graphicFrame>
      <xdr:nvGraphicFramePr>
        <xdr:cNvPr id="2" name="Chart 3"/>
        <xdr:cNvGraphicFramePr/>
      </xdr:nvGraphicFramePr>
      <xdr:xfrm>
        <a:off x="5810250" y="5581650"/>
        <a:ext cx="3448050" cy="2028825"/>
      </xdr:xfrm>
      <a:graphic>
        <a:graphicData uri="http://schemas.openxmlformats.org/drawingml/2006/chart">
          <c:chart xmlns:c="http://schemas.openxmlformats.org/drawingml/2006/chart" r:id="rId2"/>
        </a:graphicData>
      </a:graphic>
    </xdr:graphicFrame>
    <xdr:clientData/>
  </xdr:twoCellAnchor>
  <xdr:twoCellAnchor editAs="absolute">
    <xdr:from>
      <xdr:col>9</xdr:col>
      <xdr:colOff>276225</xdr:colOff>
      <xdr:row>39</xdr:row>
      <xdr:rowOff>104775</xdr:rowOff>
    </xdr:from>
    <xdr:to>
      <xdr:col>15</xdr:col>
      <xdr:colOff>695325</xdr:colOff>
      <xdr:row>51</xdr:row>
      <xdr:rowOff>276225</xdr:rowOff>
    </xdr:to>
    <xdr:graphicFrame>
      <xdr:nvGraphicFramePr>
        <xdr:cNvPr id="3" name="Chart 3"/>
        <xdr:cNvGraphicFramePr/>
      </xdr:nvGraphicFramePr>
      <xdr:xfrm>
        <a:off x="5895975" y="7648575"/>
        <a:ext cx="3448050" cy="2114550"/>
      </xdr:xfrm>
      <a:graphic>
        <a:graphicData uri="http://schemas.openxmlformats.org/drawingml/2006/chart">
          <c:chart xmlns:c="http://schemas.openxmlformats.org/drawingml/2006/chart" r:id="rId3"/>
        </a:graphicData>
      </a:graphic>
    </xdr:graphicFrame>
    <xdr:clientData/>
  </xdr:twoCellAnchor>
  <xdr:twoCellAnchor editAs="absolute">
    <xdr:from>
      <xdr:col>9</xdr:col>
      <xdr:colOff>314325</xdr:colOff>
      <xdr:row>51</xdr:row>
      <xdr:rowOff>485775</xdr:rowOff>
    </xdr:from>
    <xdr:to>
      <xdr:col>15</xdr:col>
      <xdr:colOff>733425</xdr:colOff>
      <xdr:row>62</xdr:row>
      <xdr:rowOff>114300</xdr:rowOff>
    </xdr:to>
    <xdr:graphicFrame>
      <xdr:nvGraphicFramePr>
        <xdr:cNvPr id="4" name="Chart 3"/>
        <xdr:cNvGraphicFramePr/>
      </xdr:nvGraphicFramePr>
      <xdr:xfrm>
        <a:off x="5934075" y="9972675"/>
        <a:ext cx="3448050" cy="2162175"/>
      </xdr:xfrm>
      <a:graphic>
        <a:graphicData uri="http://schemas.openxmlformats.org/drawingml/2006/chart">
          <c:chart xmlns:c="http://schemas.openxmlformats.org/drawingml/2006/chart" r:id="rId4"/>
        </a:graphicData>
      </a:graphic>
    </xdr:graphicFrame>
    <xdr:clientData/>
  </xdr:twoCellAnchor>
  <xdr:twoCellAnchor editAs="absolute">
    <xdr:from>
      <xdr:col>1</xdr:col>
      <xdr:colOff>133350</xdr:colOff>
      <xdr:row>1</xdr:row>
      <xdr:rowOff>114300</xdr:rowOff>
    </xdr:from>
    <xdr:to>
      <xdr:col>2</xdr:col>
      <xdr:colOff>1228725</xdr:colOff>
      <xdr:row>4</xdr:row>
      <xdr:rowOff>9525</xdr:rowOff>
    </xdr:to>
    <xdr:pic>
      <xdr:nvPicPr>
        <xdr:cNvPr id="5" name="Picture 6" descr="AWS.jpeg"/>
        <xdr:cNvPicPr preferRelativeResize="1">
          <a:picLocks noChangeAspect="1"/>
        </xdr:cNvPicPr>
      </xdr:nvPicPr>
      <xdr:blipFill>
        <a:blip r:embed="rId5"/>
        <a:stretch>
          <a:fillRect/>
        </a:stretch>
      </xdr:blipFill>
      <xdr:spPr>
        <a:xfrm>
          <a:off x="342900" y="285750"/>
          <a:ext cx="130492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161925</xdr:colOff>
      <xdr:row>1</xdr:row>
      <xdr:rowOff>76200</xdr:rowOff>
    </xdr:from>
    <xdr:to>
      <xdr:col>2</xdr:col>
      <xdr:colOff>1266825</xdr:colOff>
      <xdr:row>3</xdr:row>
      <xdr:rowOff>171450</xdr:rowOff>
    </xdr:to>
    <xdr:pic>
      <xdr:nvPicPr>
        <xdr:cNvPr id="1" name="Picture 2" descr="AWS.jpeg"/>
        <xdr:cNvPicPr preferRelativeResize="1">
          <a:picLocks noChangeAspect="1"/>
        </xdr:cNvPicPr>
      </xdr:nvPicPr>
      <xdr:blipFill>
        <a:blip r:embed="rId1"/>
        <a:stretch>
          <a:fillRect/>
        </a:stretch>
      </xdr:blipFill>
      <xdr:spPr>
        <a:xfrm>
          <a:off x="371475" y="247650"/>
          <a:ext cx="1314450" cy="523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133350</xdr:colOff>
      <xdr:row>1</xdr:row>
      <xdr:rowOff>95250</xdr:rowOff>
    </xdr:from>
    <xdr:to>
      <xdr:col>2</xdr:col>
      <xdr:colOff>1228725</xdr:colOff>
      <xdr:row>3</xdr:row>
      <xdr:rowOff>190500</xdr:rowOff>
    </xdr:to>
    <xdr:pic>
      <xdr:nvPicPr>
        <xdr:cNvPr id="1" name="Picture 2" descr="AWS.jpeg"/>
        <xdr:cNvPicPr preferRelativeResize="1">
          <a:picLocks noChangeAspect="1"/>
        </xdr:cNvPicPr>
      </xdr:nvPicPr>
      <xdr:blipFill>
        <a:blip r:embed="rId1"/>
        <a:stretch>
          <a:fillRect/>
        </a:stretch>
      </xdr:blipFill>
      <xdr:spPr>
        <a:xfrm>
          <a:off x="342900" y="266700"/>
          <a:ext cx="1304925" cy="523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142875</xdr:colOff>
      <xdr:row>1</xdr:row>
      <xdr:rowOff>57150</xdr:rowOff>
    </xdr:from>
    <xdr:to>
      <xdr:col>2</xdr:col>
      <xdr:colOff>1238250</xdr:colOff>
      <xdr:row>3</xdr:row>
      <xdr:rowOff>152400</xdr:rowOff>
    </xdr:to>
    <xdr:pic>
      <xdr:nvPicPr>
        <xdr:cNvPr id="1" name="Picture 2" descr="AWS.jpeg"/>
        <xdr:cNvPicPr preferRelativeResize="1">
          <a:picLocks noChangeAspect="1"/>
        </xdr:cNvPicPr>
      </xdr:nvPicPr>
      <xdr:blipFill>
        <a:blip r:embed="rId1"/>
        <a:stretch>
          <a:fillRect/>
        </a:stretch>
      </xdr:blipFill>
      <xdr:spPr>
        <a:xfrm>
          <a:off x="352425" y="228600"/>
          <a:ext cx="1304925" cy="523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28575</xdr:colOff>
      <xdr:row>1</xdr:row>
      <xdr:rowOff>38100</xdr:rowOff>
    </xdr:from>
    <xdr:to>
      <xdr:col>2</xdr:col>
      <xdr:colOff>1133475</xdr:colOff>
      <xdr:row>3</xdr:row>
      <xdr:rowOff>104775</xdr:rowOff>
    </xdr:to>
    <xdr:pic>
      <xdr:nvPicPr>
        <xdr:cNvPr id="1" name="Picture 2" descr="AWS.jpeg"/>
        <xdr:cNvPicPr preferRelativeResize="1">
          <a:picLocks noChangeAspect="1"/>
        </xdr:cNvPicPr>
      </xdr:nvPicPr>
      <xdr:blipFill>
        <a:blip r:embed="rId1"/>
        <a:stretch>
          <a:fillRect/>
        </a:stretch>
      </xdr:blipFill>
      <xdr:spPr>
        <a:xfrm>
          <a:off x="238125" y="238125"/>
          <a:ext cx="131445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ws.amazon.com/economics/" TargetMode="External" /><Relationship Id="rId2" Type="http://schemas.openxmlformats.org/officeDocument/2006/relationships/hyperlink" Target="http://media.amazonwebservices.com/User_Guide_Amazon_EC2_Cost_Comparison_Calculator_090110" TargetMode="External" /><Relationship Id="rId3" Type="http://schemas.openxmlformats.org/officeDocument/2006/relationships/hyperlink" Target="http://aws.amazon.com/ec2/"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ws.amazon.com/economics/" TargetMode="External" /><Relationship Id="rId2" Type="http://schemas.openxmlformats.org/officeDocument/2006/relationships/hyperlink" Target="http://media.amazonwebservices.com/User_Guide_Amazon_EC2_Cost_Comparison_Calculator_042810.pdf" TargetMode="Externa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aws.amazon.com/economics/" TargetMode="External" /><Relationship Id="rId2" Type="http://schemas.openxmlformats.org/officeDocument/2006/relationships/hyperlink" Target="http://media.amazonwebservices.com/User_Guide_Amazon_EC2_Cost_Comparison_Calculator_042810.pdf"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aws.amazon.com/economics/" TargetMode="External" /><Relationship Id="rId2" Type="http://schemas.openxmlformats.org/officeDocument/2006/relationships/hyperlink" Target="http://media.amazonwebservices.com/User_Guide_Amazon_EC2_Cost_Comparison_Calculator_042810.pdf"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aws.amazon.com/economics/" TargetMode="External" /><Relationship Id="rId2" Type="http://schemas.openxmlformats.org/officeDocument/2006/relationships/hyperlink" Target="http://media.amazonwebservices.com/User_Guide_Amazon_EC2_Cost_Comparison_Calculator_042810.pdf" TargetMode="Externa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aws.amazon.com/economics/" TargetMode="External" /><Relationship Id="rId2" Type="http://schemas.openxmlformats.org/officeDocument/2006/relationships/hyperlink" Target="http://media.amazonwebservices.com/User_Guide_Amazon_EC2_Cost_Comparison_Calculator_042810.pdf" TargetMode="Externa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B2:K21"/>
  <sheetViews>
    <sheetView showGridLines="0" workbookViewId="0" topLeftCell="A1">
      <selection activeCell="A1" sqref="A1"/>
    </sheetView>
  </sheetViews>
  <sheetFormatPr defaultColWidth="9.140625" defaultRowHeight="15"/>
  <cols>
    <col min="1" max="1" width="4.28125" style="0" customWidth="1"/>
    <col min="2" max="2" width="105.57421875" style="338" customWidth="1"/>
    <col min="3" max="11" width="9.140625" style="338" customWidth="1"/>
  </cols>
  <sheetData>
    <row r="1" ht="15.75" thickBot="1"/>
    <row r="2" ht="26.25">
      <c r="B2" s="402" t="s">
        <v>279</v>
      </c>
    </row>
    <row r="3" ht="15">
      <c r="B3" s="341"/>
    </row>
    <row r="4" ht="21">
      <c r="B4" s="342" t="s">
        <v>283</v>
      </c>
    </row>
    <row r="5" ht="15">
      <c r="B5" s="343" t="s">
        <v>362</v>
      </c>
    </row>
    <row r="6" ht="15">
      <c r="B6" s="341"/>
    </row>
    <row r="7" ht="21">
      <c r="B7" s="342" t="s">
        <v>322</v>
      </c>
    </row>
    <row r="8" ht="15">
      <c r="B8" s="363" t="s">
        <v>426</v>
      </c>
    </row>
    <row r="9" ht="15">
      <c r="B9" s="344" t="s">
        <v>376</v>
      </c>
    </row>
    <row r="10" ht="15">
      <c r="B10" s="344"/>
    </row>
    <row r="11" ht="21">
      <c r="B11" s="342" t="s">
        <v>284</v>
      </c>
    </row>
    <row r="12" ht="30">
      <c r="B12" s="344" t="s">
        <v>321</v>
      </c>
    </row>
    <row r="13" ht="15">
      <c r="B13" s="344"/>
    </row>
    <row r="14" ht="15">
      <c r="B14" s="399" t="s">
        <v>373</v>
      </c>
    </row>
    <row r="15" ht="15">
      <c r="B15" s="399" t="s">
        <v>374</v>
      </c>
    </row>
    <row r="16" ht="15">
      <c r="B16" s="399" t="s">
        <v>375</v>
      </c>
    </row>
    <row r="17" ht="15">
      <c r="B17" s="341"/>
    </row>
    <row r="18" ht="21">
      <c r="B18" s="342" t="s">
        <v>280</v>
      </c>
    </row>
    <row r="19" spans="2:11" ht="142.5" customHeight="1" thickBot="1">
      <c r="B19" s="345" t="s">
        <v>392</v>
      </c>
      <c r="C19" s="340"/>
      <c r="D19" s="340"/>
      <c r="E19" s="340"/>
      <c r="F19" s="340"/>
      <c r="G19" s="340"/>
      <c r="H19" s="340"/>
      <c r="I19" s="340"/>
      <c r="J19" s="340"/>
      <c r="K19" s="340"/>
    </row>
    <row r="21" ht="15">
      <c r="B21" s="339" t="s">
        <v>358</v>
      </c>
    </row>
  </sheetData>
  <sheetProtection/>
  <hyperlinks>
    <hyperlink ref="B21" location="Overview_Goto" display="Go to &quot;Overview&quot; tab to begin…"/>
    <hyperlink ref="B14" r:id="rId1" display="AWS Economics Center"/>
    <hyperlink ref="B15" r:id="rId2" display="User Guide:  Amazon EC2 Cost Comparison Calculator"/>
    <hyperlink ref="B16" r:id="rId3" display="Amazon EC2 Detail Page"/>
  </hyperlinks>
  <printOptions/>
  <pageMargins left="0.7" right="0.7" top="0.75" bottom="0.75" header="0.3" footer="0.3"/>
  <pageSetup horizontalDpi="600" verticalDpi="600" orientation="portrait" r:id="rId5"/>
  <drawing r:id="rId4"/>
</worksheet>
</file>

<file path=xl/worksheets/sheet2.xml><?xml version="1.0" encoding="utf-8"?>
<worksheet xmlns="http://schemas.openxmlformats.org/spreadsheetml/2006/main" xmlns:r="http://schemas.openxmlformats.org/officeDocument/2006/relationships">
  <sheetPr codeName="Sheet12">
    <tabColor theme="9" tint="0.39998000860214233"/>
    <pageSetUpPr fitToPage="1"/>
  </sheetPr>
  <dimension ref="A1:AB117"/>
  <sheetViews>
    <sheetView showGridLines="0" tabSelected="1" zoomScale="115" zoomScaleNormal="115" zoomScalePageLayoutView="0" workbookViewId="0" topLeftCell="A1">
      <pane ySplit="1" topLeftCell="A2" activePane="bottomLeft" state="frozen"/>
      <selection pane="topLeft" activeCell="Q1" activeCellId="6" sqref="E1:E16384 G1:G16384 I1:I16384 K1:K16384 M1:M16384 O1:O16384 Q1:Q16384"/>
      <selection pane="bottomLeft" activeCell="A2" sqref="A2"/>
    </sheetView>
  </sheetViews>
  <sheetFormatPr defaultColWidth="9.140625" defaultRowHeight="15"/>
  <cols>
    <col min="1" max="2" width="3.140625" style="1" customWidth="1"/>
    <col min="3" max="3" width="32.57421875" style="1" customWidth="1"/>
    <col min="4" max="4" width="11.8515625" style="1" customWidth="1"/>
    <col min="5" max="5" width="3.28125" style="1" customWidth="1"/>
    <col min="6" max="6" width="11.8515625" style="1" customWidth="1"/>
    <col min="7" max="7" width="3.28125" style="1" customWidth="1"/>
    <col min="8" max="8" width="11.8515625" style="1" customWidth="1"/>
    <col min="9" max="9" width="3.28125" style="1" customWidth="1"/>
    <col min="10" max="10" width="11.8515625" style="1" customWidth="1"/>
    <col min="11" max="11" width="3.28125" style="1" customWidth="1"/>
    <col min="12" max="12" width="11.8515625" style="1" customWidth="1"/>
    <col min="13" max="13" width="3.28125" style="1" customWidth="1"/>
    <col min="14" max="14" width="11.8515625" style="1" customWidth="1"/>
    <col min="15" max="15" width="3.28125" style="1" customWidth="1"/>
    <col min="16" max="16" width="11.8515625" style="7" customWidth="1"/>
    <col min="17" max="17" width="3.28125" style="7" customWidth="1"/>
    <col min="18" max="18" width="12.00390625" style="16" customWidth="1"/>
    <col min="19" max="19" width="1.57421875" style="4" customWidth="1"/>
    <col min="20" max="20" width="1.7109375" style="1" customWidth="1"/>
    <col min="21" max="16384" width="9.140625" style="1" customWidth="1"/>
  </cols>
  <sheetData>
    <row r="1" spans="3:16" ht="13.5" thickBot="1">
      <c r="C1" s="398" t="s">
        <v>373</v>
      </c>
      <c r="D1" s="412" t="s">
        <v>372</v>
      </c>
      <c r="H1" s="238"/>
      <c r="J1" s="237" t="s">
        <v>327</v>
      </c>
      <c r="K1" s="7"/>
      <c r="L1" s="122" t="s">
        <v>271</v>
      </c>
      <c r="M1" s="7"/>
      <c r="N1" s="122" t="s">
        <v>272</v>
      </c>
      <c r="O1" s="7"/>
      <c r="P1" s="122" t="s">
        <v>273</v>
      </c>
    </row>
    <row r="2" spans="2:17" ht="12.75">
      <c r="B2" s="67"/>
      <c r="C2" s="2"/>
      <c r="D2" s="2"/>
      <c r="E2" s="2"/>
      <c r="F2" s="2"/>
      <c r="G2" s="2"/>
      <c r="H2" s="2"/>
      <c r="I2" s="2"/>
      <c r="J2" s="2"/>
      <c r="K2" s="2"/>
      <c r="L2" s="2"/>
      <c r="M2" s="2"/>
      <c r="N2" s="2"/>
      <c r="O2" s="2"/>
      <c r="P2" s="30"/>
      <c r="Q2" s="51"/>
    </row>
    <row r="3" spans="1:20" s="4" customFormat="1" ht="21">
      <c r="A3" s="1"/>
      <c r="B3" s="5"/>
      <c r="C3" s="400" t="s">
        <v>327</v>
      </c>
      <c r="Q3" s="52"/>
      <c r="R3" s="16"/>
      <c r="T3" s="1"/>
    </row>
    <row r="4" spans="1:20" s="4" customFormat="1" ht="15.75">
      <c r="A4" s="1"/>
      <c r="B4" s="5"/>
      <c r="C4" s="404" t="s">
        <v>279</v>
      </c>
      <c r="Q4" s="52"/>
      <c r="R4" s="16"/>
      <c r="T4" s="1"/>
    </row>
    <row r="5" spans="1:20" s="4" customFormat="1" ht="12.75">
      <c r="A5" s="1"/>
      <c r="B5" s="5"/>
      <c r="C5" s="439" t="s">
        <v>346</v>
      </c>
      <c r="D5" s="439"/>
      <c r="E5" s="439"/>
      <c r="F5" s="439"/>
      <c r="G5" s="439"/>
      <c r="H5" s="439"/>
      <c r="I5" s="439"/>
      <c r="J5" s="439"/>
      <c r="K5" s="439"/>
      <c r="L5" s="439"/>
      <c r="M5" s="439"/>
      <c r="N5" s="439"/>
      <c r="O5" s="439"/>
      <c r="P5" s="439"/>
      <c r="Q5" s="364"/>
      <c r="R5" s="16"/>
      <c r="T5" s="1"/>
    </row>
    <row r="6" spans="1:28" s="4" customFormat="1" ht="15.75">
      <c r="A6" s="1"/>
      <c r="B6" s="5"/>
      <c r="C6" s="104"/>
      <c r="D6" s="37"/>
      <c r="E6" s="38"/>
      <c r="F6" s="37"/>
      <c r="G6" s="38"/>
      <c r="H6" s="37"/>
      <c r="I6" s="38"/>
      <c r="J6" s="37"/>
      <c r="K6" s="38"/>
      <c r="L6" s="37"/>
      <c r="M6" s="39"/>
      <c r="N6" s="39"/>
      <c r="O6" s="39"/>
      <c r="P6" s="38"/>
      <c r="Q6" s="246"/>
      <c r="R6" s="12"/>
      <c r="T6" s="1"/>
      <c r="AB6" s="36"/>
    </row>
    <row r="7" spans="1:28" s="4" customFormat="1" ht="12.75" customHeight="1">
      <c r="A7" s="1"/>
      <c r="B7" s="5"/>
      <c r="C7" s="91"/>
      <c r="D7" s="16"/>
      <c r="E7" s="6"/>
      <c r="F7" s="10"/>
      <c r="G7" s="90"/>
      <c r="H7" s="16"/>
      <c r="I7" s="16"/>
      <c r="J7" s="10"/>
      <c r="L7" s="7"/>
      <c r="N7" s="10"/>
      <c r="Q7" s="52"/>
      <c r="R7" s="12"/>
      <c r="T7" s="1"/>
      <c r="AB7" s="36"/>
    </row>
    <row r="8" spans="1:28" s="4" customFormat="1" ht="42.75" customHeight="1">
      <c r="A8" s="1"/>
      <c r="B8" s="5"/>
      <c r="C8" s="440" t="s">
        <v>330</v>
      </c>
      <c r="D8" s="440"/>
      <c r="E8" s="440"/>
      <c r="F8" s="440"/>
      <c r="G8" s="440"/>
      <c r="H8" s="440"/>
      <c r="I8" s="440"/>
      <c r="J8" s="440"/>
      <c r="K8" s="440"/>
      <c r="L8" s="440"/>
      <c r="M8" s="440"/>
      <c r="N8" s="440"/>
      <c r="O8" s="440"/>
      <c r="P8" s="440"/>
      <c r="Q8" s="52"/>
      <c r="R8" s="12"/>
      <c r="T8" s="1"/>
      <c r="AB8" s="36"/>
    </row>
    <row r="9" spans="1:28" s="4" customFormat="1" ht="12.75">
      <c r="A9" s="1"/>
      <c r="B9" s="5"/>
      <c r="D9" s="144"/>
      <c r="E9" s="144"/>
      <c r="F9" s="144"/>
      <c r="G9" s="144"/>
      <c r="H9" s="144"/>
      <c r="I9" s="144"/>
      <c r="J9" s="144"/>
      <c r="K9" s="144"/>
      <c r="L9" s="144"/>
      <c r="M9" s="144"/>
      <c r="N9" s="144"/>
      <c r="O9" s="144"/>
      <c r="P9" s="144"/>
      <c r="Q9" s="52"/>
      <c r="R9" s="12"/>
      <c r="T9" s="1"/>
      <c r="AB9" s="36"/>
    </row>
    <row r="10" spans="1:28" s="4" customFormat="1" ht="12.75" customHeight="1">
      <c r="A10" s="1"/>
      <c r="B10" s="5"/>
      <c r="C10" s="220"/>
      <c r="D10" s="115"/>
      <c r="E10" s="112"/>
      <c r="F10" s="116"/>
      <c r="G10" s="221"/>
      <c r="H10" s="115"/>
      <c r="I10" s="115"/>
      <c r="J10" s="116"/>
      <c r="K10" s="95"/>
      <c r="L10" s="170"/>
      <c r="M10" s="95"/>
      <c r="N10" s="116"/>
      <c r="O10" s="95"/>
      <c r="P10" s="177"/>
      <c r="Q10" s="52"/>
      <c r="R10" s="12"/>
      <c r="T10" s="1"/>
      <c r="AB10" s="36"/>
    </row>
    <row r="11" spans="1:20" s="4" customFormat="1" ht="14.25" customHeight="1">
      <c r="A11" s="1"/>
      <c r="B11" s="5"/>
      <c r="C11" s="218" t="s">
        <v>328</v>
      </c>
      <c r="D11" s="217" t="s">
        <v>256</v>
      </c>
      <c r="E11" s="236" t="s">
        <v>257</v>
      </c>
      <c r="F11" s="175"/>
      <c r="G11" s="374"/>
      <c r="H11" s="441" t="s">
        <v>269</v>
      </c>
      <c r="I11" s="442"/>
      <c r="J11" s="442"/>
      <c r="K11" s="442"/>
      <c r="L11" s="442"/>
      <c r="M11" s="442"/>
      <c r="N11" s="442"/>
      <c r="O11" s="442"/>
      <c r="P11" s="443"/>
      <c r="Q11" s="9"/>
      <c r="R11" s="16"/>
      <c r="T11" s="1"/>
    </row>
    <row r="12" spans="1:20" s="4" customFormat="1" ht="14.25" customHeight="1">
      <c r="A12" s="1"/>
      <c r="B12" s="5"/>
      <c r="C12" s="129"/>
      <c r="D12" s="376"/>
      <c r="E12" s="236"/>
      <c r="F12" s="175"/>
      <c r="G12" s="375"/>
      <c r="H12" s="369"/>
      <c r="I12" s="370"/>
      <c r="J12" s="370"/>
      <c r="K12" s="370"/>
      <c r="L12" s="370"/>
      <c r="M12" s="370"/>
      <c r="N12" s="370"/>
      <c r="O12" s="370"/>
      <c r="P12" s="371"/>
      <c r="Q12" s="9"/>
      <c r="R12" s="16"/>
      <c r="T12" s="1"/>
    </row>
    <row r="13" spans="1:20" s="4" customFormat="1" ht="14.25" customHeight="1">
      <c r="A13" s="1"/>
      <c r="B13" s="5"/>
      <c r="C13" s="373" t="s">
        <v>389</v>
      </c>
      <c r="D13" s="348"/>
      <c r="E13" s="348"/>
      <c r="F13" s="348"/>
      <c r="G13" s="348"/>
      <c r="H13" s="369"/>
      <c r="I13" s="370"/>
      <c r="J13" s="370"/>
      <c r="K13" s="370"/>
      <c r="L13" s="370"/>
      <c r="M13" s="370"/>
      <c r="N13" s="370"/>
      <c r="O13" s="370"/>
      <c r="P13" s="371"/>
      <c r="Q13" s="9"/>
      <c r="R13" s="16"/>
      <c r="T13" s="1"/>
    </row>
    <row r="14" spans="1:20" s="4" customFormat="1" ht="14.25" customHeight="1">
      <c r="A14" s="1"/>
      <c r="B14" s="5"/>
      <c r="C14" s="373" t="s">
        <v>348</v>
      </c>
      <c r="D14" s="348"/>
      <c r="E14" s="348"/>
      <c r="F14" s="348"/>
      <c r="G14" s="348"/>
      <c r="H14" s="369"/>
      <c r="I14" s="370"/>
      <c r="J14" s="370"/>
      <c r="K14" s="370"/>
      <c r="L14" s="370"/>
      <c r="M14" s="370"/>
      <c r="N14" s="370"/>
      <c r="O14" s="370"/>
      <c r="P14" s="371"/>
      <c r="Q14" s="9"/>
      <c r="R14" s="16"/>
      <c r="T14" s="1"/>
    </row>
    <row r="15" spans="1:20" s="4" customFormat="1" ht="14.25" customHeight="1">
      <c r="A15" s="1"/>
      <c r="B15" s="5"/>
      <c r="C15" s="373" t="s">
        <v>383</v>
      </c>
      <c r="D15" s="348"/>
      <c r="E15" s="348"/>
      <c r="F15" s="348"/>
      <c r="G15" s="348"/>
      <c r="H15" s="369"/>
      <c r="I15" s="370"/>
      <c r="J15" s="370"/>
      <c r="K15" s="370"/>
      <c r="L15" s="370"/>
      <c r="M15" s="370"/>
      <c r="N15" s="370"/>
      <c r="O15" s="370"/>
      <c r="P15" s="371"/>
      <c r="Q15" s="9"/>
      <c r="R15" s="16"/>
      <c r="T15" s="1"/>
    </row>
    <row r="16" spans="1:20" s="4" customFormat="1" ht="14.25" customHeight="1">
      <c r="A16" s="1"/>
      <c r="B16" s="5"/>
      <c r="C16" s="373" t="s">
        <v>384</v>
      </c>
      <c r="D16" s="348"/>
      <c r="E16" s="348"/>
      <c r="F16" s="348"/>
      <c r="G16" s="348"/>
      <c r="H16" s="369"/>
      <c r="I16" s="370"/>
      <c r="J16" s="370"/>
      <c r="K16" s="370"/>
      <c r="L16" s="370"/>
      <c r="M16" s="370"/>
      <c r="N16" s="370"/>
      <c r="O16" s="370"/>
      <c r="P16" s="371"/>
      <c r="Q16" s="9"/>
      <c r="R16" s="16"/>
      <c r="T16" s="1"/>
    </row>
    <row r="17" spans="1:20" s="4" customFormat="1" ht="14.25" customHeight="1">
      <c r="A17" s="1"/>
      <c r="B17" s="5"/>
      <c r="C17" s="373" t="s">
        <v>349</v>
      </c>
      <c r="D17" s="348"/>
      <c r="E17" s="348"/>
      <c r="F17" s="348"/>
      <c r="G17" s="348"/>
      <c r="H17" s="369"/>
      <c r="I17" s="370"/>
      <c r="J17" s="370"/>
      <c r="K17" s="370"/>
      <c r="L17" s="370"/>
      <c r="M17" s="370"/>
      <c r="N17" s="370"/>
      <c r="O17" s="370"/>
      <c r="P17" s="371"/>
      <c r="Q17" s="9"/>
      <c r="R17" s="16"/>
      <c r="T17" s="1"/>
    </row>
    <row r="18" spans="1:20" s="4" customFormat="1" ht="14.25" customHeight="1">
      <c r="A18" s="1"/>
      <c r="B18" s="5"/>
      <c r="C18" s="373" t="s">
        <v>350</v>
      </c>
      <c r="D18" s="348"/>
      <c r="E18" s="348"/>
      <c r="F18" s="348"/>
      <c r="G18" s="348"/>
      <c r="H18" s="369"/>
      <c r="I18" s="370"/>
      <c r="J18" s="370"/>
      <c r="K18" s="370"/>
      <c r="L18" s="370"/>
      <c r="M18" s="370"/>
      <c r="N18" s="370"/>
      <c r="O18" s="370"/>
      <c r="P18" s="371"/>
      <c r="Q18" s="9"/>
      <c r="R18" s="16"/>
      <c r="T18" s="1"/>
    </row>
    <row r="19" spans="1:20" s="4" customFormat="1" ht="14.25" customHeight="1">
      <c r="A19" s="1"/>
      <c r="B19" s="5"/>
      <c r="C19" s="373" t="s">
        <v>351</v>
      </c>
      <c r="D19" s="348"/>
      <c r="E19" s="348"/>
      <c r="F19" s="348"/>
      <c r="G19" s="348"/>
      <c r="H19" s="369"/>
      <c r="I19" s="370"/>
      <c r="J19" s="370"/>
      <c r="K19" s="370"/>
      <c r="L19" s="370"/>
      <c r="M19" s="370"/>
      <c r="N19" s="370"/>
      <c r="O19" s="370"/>
      <c r="P19" s="371"/>
      <c r="Q19" s="9"/>
      <c r="R19" s="16"/>
      <c r="T19" s="1"/>
    </row>
    <row r="20" spans="1:20" s="4" customFormat="1" ht="14.25" customHeight="1">
      <c r="A20" s="1"/>
      <c r="B20" s="5"/>
      <c r="C20" s="218"/>
      <c r="H20" s="228"/>
      <c r="J20" s="197"/>
      <c r="K20" s="197"/>
      <c r="L20" s="197"/>
      <c r="M20" s="197"/>
      <c r="P20" s="198"/>
      <c r="Q20" s="9"/>
      <c r="R20" s="16"/>
      <c r="T20" s="1"/>
    </row>
    <row r="21" spans="1:20" s="4" customFormat="1" ht="14.25" customHeight="1">
      <c r="A21" s="1"/>
      <c r="B21" s="5"/>
      <c r="C21" s="218"/>
      <c r="H21" s="228"/>
      <c r="K21" s="197"/>
      <c r="L21" s="197"/>
      <c r="M21" s="197"/>
      <c r="P21" s="198"/>
      <c r="Q21" s="9"/>
      <c r="R21" s="16"/>
      <c r="T21" s="1"/>
    </row>
    <row r="22" spans="1:20" s="4" customFormat="1" ht="14.25" customHeight="1">
      <c r="A22" s="1"/>
      <c r="B22" s="5"/>
      <c r="C22" s="218"/>
      <c r="D22" s="395"/>
      <c r="E22" s="76"/>
      <c r="F22" s="7"/>
      <c r="H22" s="446" t="s">
        <v>427</v>
      </c>
      <c r="I22" s="447"/>
      <c r="J22" s="447"/>
      <c r="K22" s="447"/>
      <c r="L22" s="447"/>
      <c r="M22" s="447"/>
      <c r="N22" s="447"/>
      <c r="O22" s="447"/>
      <c r="P22" s="448"/>
      <c r="Q22" s="9"/>
      <c r="R22" s="16"/>
      <c r="T22" s="1"/>
    </row>
    <row r="23" spans="1:20" s="4" customFormat="1" ht="14.25" customHeight="1">
      <c r="A23" s="1"/>
      <c r="B23" s="5"/>
      <c r="C23" s="218" t="s">
        <v>16</v>
      </c>
      <c r="D23" s="395" t="s">
        <v>249</v>
      </c>
      <c r="E23" s="76"/>
      <c r="F23" s="28"/>
      <c r="H23" s="446"/>
      <c r="I23" s="447"/>
      <c r="J23" s="447"/>
      <c r="K23" s="447"/>
      <c r="L23" s="447"/>
      <c r="M23" s="447"/>
      <c r="N23" s="447"/>
      <c r="O23" s="447"/>
      <c r="P23" s="448"/>
      <c r="Q23" s="9"/>
      <c r="R23" s="16"/>
      <c r="T23" s="1"/>
    </row>
    <row r="24" spans="1:20" s="4" customFormat="1" ht="14.25" customHeight="1">
      <c r="A24" s="1"/>
      <c r="B24" s="5"/>
      <c r="C24" s="182" t="s">
        <v>16</v>
      </c>
      <c r="D24" s="211"/>
      <c r="E24" s="76"/>
      <c r="F24" s="28"/>
      <c r="H24" s="446"/>
      <c r="I24" s="447"/>
      <c r="J24" s="447"/>
      <c r="K24" s="447"/>
      <c r="L24" s="447"/>
      <c r="M24" s="447"/>
      <c r="N24" s="447"/>
      <c r="O24" s="447"/>
      <c r="P24" s="448"/>
      <c r="Q24" s="9"/>
      <c r="R24" s="16"/>
      <c r="T24" s="1"/>
    </row>
    <row r="25" spans="1:20" s="4" customFormat="1" ht="14.25" customHeight="1">
      <c r="A25" s="1"/>
      <c r="B25" s="5"/>
      <c r="C25" s="182"/>
      <c r="E25" s="76"/>
      <c r="F25" s="28"/>
      <c r="H25" s="446"/>
      <c r="I25" s="447"/>
      <c r="J25" s="447"/>
      <c r="K25" s="447"/>
      <c r="L25" s="447"/>
      <c r="M25" s="447"/>
      <c r="N25" s="447"/>
      <c r="O25" s="447"/>
      <c r="P25" s="448"/>
      <c r="Q25" s="9"/>
      <c r="R25" s="16"/>
      <c r="T25" s="1"/>
    </row>
    <row r="26" spans="1:20" s="4" customFormat="1" ht="14.25" customHeight="1">
      <c r="A26" s="1"/>
      <c r="B26" s="5"/>
      <c r="C26" s="182"/>
      <c r="E26" s="76"/>
      <c r="F26" s="28"/>
      <c r="H26" s="449"/>
      <c r="I26" s="450"/>
      <c r="J26" s="450"/>
      <c r="K26" s="450"/>
      <c r="L26" s="450"/>
      <c r="M26" s="450"/>
      <c r="N26" s="450"/>
      <c r="O26" s="450"/>
      <c r="P26" s="451"/>
      <c r="Q26" s="9"/>
      <c r="R26" s="16"/>
      <c r="T26" s="1"/>
    </row>
    <row r="27" spans="1:20" s="4" customFormat="1" ht="14.25" customHeight="1">
      <c r="A27" s="1"/>
      <c r="B27" s="5"/>
      <c r="C27" s="218" t="s">
        <v>266</v>
      </c>
      <c r="D27" s="235" t="s">
        <v>250</v>
      </c>
      <c r="E27" s="76"/>
      <c r="F27" s="235" t="s">
        <v>251</v>
      </c>
      <c r="H27" s="231"/>
      <c r="J27" s="197"/>
      <c r="K27" s="197"/>
      <c r="L27" s="197"/>
      <c r="M27" s="197"/>
      <c r="P27" s="198"/>
      <c r="Q27" s="9"/>
      <c r="R27" s="16"/>
      <c r="T27" s="1"/>
    </row>
    <row r="28" spans="1:20" s="4" customFormat="1" ht="24" customHeight="1">
      <c r="A28" s="1"/>
      <c r="B28" s="5"/>
      <c r="C28" s="212" t="s">
        <v>258</v>
      </c>
      <c r="D28" s="213" t="s">
        <v>347</v>
      </c>
      <c r="E28" s="214"/>
      <c r="F28" s="215" t="s">
        <v>265</v>
      </c>
      <c r="G28" s="214"/>
      <c r="H28" s="228" t="s">
        <v>254</v>
      </c>
      <c r="K28" s="214"/>
      <c r="P28" s="224"/>
      <c r="Q28" s="9"/>
      <c r="R28" s="16"/>
      <c r="T28" s="1"/>
    </row>
    <row r="29" spans="1:20" s="4" customFormat="1" ht="14.25" customHeight="1">
      <c r="A29" s="1"/>
      <c r="B29" s="5"/>
      <c r="C29" s="182" t="s">
        <v>336</v>
      </c>
      <c r="D29" s="313">
        <v>300</v>
      </c>
      <c r="F29" s="385">
        <v>0.75</v>
      </c>
      <c r="H29" s="230" t="s">
        <v>5</v>
      </c>
      <c r="O29" s="90"/>
      <c r="P29" s="225"/>
      <c r="Q29" s="9"/>
      <c r="R29" s="16"/>
      <c r="T29" s="1"/>
    </row>
    <row r="30" spans="1:20" s="4" customFormat="1" ht="12.75" customHeight="1">
      <c r="A30" s="1"/>
      <c r="B30" s="5"/>
      <c r="C30" s="182" t="s">
        <v>337</v>
      </c>
      <c r="D30" s="313">
        <v>0</v>
      </c>
      <c r="F30" s="434">
        <v>0.75</v>
      </c>
      <c r="H30" s="366"/>
      <c r="O30" s="90"/>
      <c r="P30" s="107"/>
      <c r="Q30" s="9"/>
      <c r="R30" s="16"/>
      <c r="T30" s="1"/>
    </row>
    <row r="31" spans="1:20" s="4" customFormat="1" ht="12.75" customHeight="1">
      <c r="A31" s="1"/>
      <c r="B31" s="5"/>
      <c r="C31" s="182" t="s">
        <v>338</v>
      </c>
      <c r="D31" s="313">
        <v>0</v>
      </c>
      <c r="F31" s="385">
        <v>0.75</v>
      </c>
      <c r="H31" s="366"/>
      <c r="P31" s="226"/>
      <c r="Q31" s="9"/>
      <c r="R31" s="16"/>
      <c r="T31" s="1"/>
    </row>
    <row r="32" spans="1:20" s="4" customFormat="1" ht="12.75" customHeight="1">
      <c r="A32" s="1"/>
      <c r="B32" s="5"/>
      <c r="C32" s="182" t="s">
        <v>377</v>
      </c>
      <c r="D32" s="313">
        <v>0</v>
      </c>
      <c r="F32" s="385">
        <v>0.75</v>
      </c>
      <c r="H32" s="366"/>
      <c r="P32" s="226"/>
      <c r="Q32" s="9"/>
      <c r="R32" s="16"/>
      <c r="T32" s="1"/>
    </row>
    <row r="33" spans="1:20" s="4" customFormat="1" ht="12.75" customHeight="1">
      <c r="A33" s="1"/>
      <c r="B33" s="5"/>
      <c r="C33" s="182" t="s">
        <v>334</v>
      </c>
      <c r="D33" s="313">
        <v>0</v>
      </c>
      <c r="F33" s="385">
        <v>0.75</v>
      </c>
      <c r="H33" s="229"/>
      <c r="P33" s="226"/>
      <c r="Q33" s="9"/>
      <c r="R33" s="16"/>
      <c r="T33" s="1"/>
    </row>
    <row r="34" spans="1:20" s="4" customFormat="1" ht="12.75" customHeight="1">
      <c r="A34" s="1"/>
      <c r="B34" s="5"/>
      <c r="C34" s="182" t="s">
        <v>335</v>
      </c>
      <c r="D34" s="313">
        <v>0</v>
      </c>
      <c r="F34" s="385">
        <v>0.75</v>
      </c>
      <c r="H34" s="229"/>
      <c r="P34" s="226"/>
      <c r="Q34" s="9"/>
      <c r="R34" s="16"/>
      <c r="T34" s="1"/>
    </row>
    <row r="35" spans="1:20" s="4" customFormat="1" ht="12.75" customHeight="1">
      <c r="A35" s="1"/>
      <c r="B35" s="5"/>
      <c r="C35" s="182" t="s">
        <v>339</v>
      </c>
      <c r="D35" s="313">
        <v>0</v>
      </c>
      <c r="F35" s="385">
        <v>0.75</v>
      </c>
      <c r="H35" s="229"/>
      <c r="P35" s="107"/>
      <c r="Q35" s="9"/>
      <c r="R35" s="16"/>
      <c r="T35" s="1"/>
    </row>
    <row r="36" spans="1:20" s="4" customFormat="1" ht="12.75" customHeight="1">
      <c r="A36" s="1"/>
      <c r="B36" s="5"/>
      <c r="C36" s="182" t="s">
        <v>340</v>
      </c>
      <c r="D36" s="313">
        <v>0</v>
      </c>
      <c r="F36" s="385">
        <v>0.75</v>
      </c>
      <c r="H36" s="230"/>
      <c r="P36" s="107"/>
      <c r="Q36" s="9"/>
      <c r="R36" s="16"/>
      <c r="T36" s="1"/>
    </row>
    <row r="37" spans="1:20" s="4" customFormat="1" ht="15" customHeight="1">
      <c r="A37" s="1"/>
      <c r="B37" s="5"/>
      <c r="C37" s="178"/>
      <c r="D37" s="235" t="s">
        <v>252</v>
      </c>
      <c r="E37" s="222"/>
      <c r="F37" s="235" t="s">
        <v>253</v>
      </c>
      <c r="H37" s="231"/>
      <c r="K37" s="18"/>
      <c r="P37" s="107"/>
      <c r="Q37" s="9"/>
      <c r="R37" s="16"/>
      <c r="T37" s="1"/>
    </row>
    <row r="38" spans="1:20" s="4" customFormat="1" ht="24">
      <c r="A38" s="1"/>
      <c r="B38" s="5"/>
      <c r="C38" s="212" t="s">
        <v>258</v>
      </c>
      <c r="D38" s="213" t="s">
        <v>48</v>
      </c>
      <c r="E38" s="76"/>
      <c r="F38" s="215" t="s">
        <v>265</v>
      </c>
      <c r="H38" s="231"/>
      <c r="K38" s="18"/>
      <c r="L38" s="6"/>
      <c r="M38" s="17"/>
      <c r="N38" s="6"/>
      <c r="P38" s="107"/>
      <c r="Q38" s="9"/>
      <c r="R38" s="16"/>
      <c r="T38" s="1"/>
    </row>
    <row r="39" spans="1:20" s="4" customFormat="1" ht="12.75" customHeight="1">
      <c r="A39" s="1"/>
      <c r="B39" s="5"/>
      <c r="C39" s="182" t="s">
        <v>336</v>
      </c>
      <c r="D39" s="313">
        <v>700</v>
      </c>
      <c r="E39" s="76"/>
      <c r="F39" s="314">
        <v>0.1</v>
      </c>
      <c r="H39" s="230" t="s">
        <v>53</v>
      </c>
      <c r="K39" s="18"/>
      <c r="L39" s="6"/>
      <c r="M39" s="17"/>
      <c r="N39" s="6"/>
      <c r="P39" s="107"/>
      <c r="Q39" s="9"/>
      <c r="R39" s="16"/>
      <c r="T39" s="1"/>
    </row>
    <row r="40" spans="1:20" s="4" customFormat="1" ht="12.75" customHeight="1">
      <c r="A40" s="1"/>
      <c r="B40" s="5"/>
      <c r="C40" s="182" t="s">
        <v>337</v>
      </c>
      <c r="D40" s="313">
        <v>0</v>
      </c>
      <c r="E40" s="76"/>
      <c r="F40" s="314">
        <v>0.1</v>
      </c>
      <c r="H40" s="232"/>
      <c r="K40" s="18"/>
      <c r="L40" s="6"/>
      <c r="M40" s="17"/>
      <c r="N40" s="6"/>
      <c r="P40" s="107"/>
      <c r="Q40" s="9"/>
      <c r="R40" s="16"/>
      <c r="T40" s="1"/>
    </row>
    <row r="41" spans="1:20" s="4" customFormat="1" ht="12.75" customHeight="1">
      <c r="A41" s="1"/>
      <c r="B41" s="5"/>
      <c r="C41" s="182" t="s">
        <v>338</v>
      </c>
      <c r="D41" s="313">
        <v>0</v>
      </c>
      <c r="E41" s="76"/>
      <c r="F41" s="314">
        <v>0.1</v>
      </c>
      <c r="H41" s="231"/>
      <c r="K41" s="18"/>
      <c r="L41" s="6"/>
      <c r="M41" s="17"/>
      <c r="N41" s="6"/>
      <c r="P41" s="107"/>
      <c r="Q41" s="9"/>
      <c r="R41" s="16"/>
      <c r="T41" s="1"/>
    </row>
    <row r="42" spans="1:20" s="4" customFormat="1" ht="12.75" customHeight="1">
      <c r="A42" s="1"/>
      <c r="B42" s="5"/>
      <c r="C42" s="182" t="s">
        <v>377</v>
      </c>
      <c r="D42" s="313">
        <v>0</v>
      </c>
      <c r="E42" s="76"/>
      <c r="F42" s="314">
        <v>0.1</v>
      </c>
      <c r="H42" s="231"/>
      <c r="K42" s="18"/>
      <c r="L42" s="6"/>
      <c r="M42" s="17"/>
      <c r="N42" s="6"/>
      <c r="P42" s="107"/>
      <c r="Q42" s="9"/>
      <c r="R42" s="16"/>
      <c r="T42" s="1"/>
    </row>
    <row r="43" spans="1:20" s="4" customFormat="1" ht="12.75" customHeight="1">
      <c r="A43" s="1"/>
      <c r="B43" s="5"/>
      <c r="C43" s="182" t="s">
        <v>334</v>
      </c>
      <c r="D43" s="313">
        <v>0</v>
      </c>
      <c r="E43" s="76"/>
      <c r="F43" s="314">
        <v>0.1</v>
      </c>
      <c r="H43" s="231"/>
      <c r="K43" s="18"/>
      <c r="L43" s="6"/>
      <c r="M43" s="17"/>
      <c r="N43" s="6"/>
      <c r="P43" s="107"/>
      <c r="Q43" s="9"/>
      <c r="R43" s="16"/>
      <c r="T43" s="1"/>
    </row>
    <row r="44" spans="1:20" s="4" customFormat="1" ht="12.75" customHeight="1">
      <c r="A44" s="1"/>
      <c r="B44" s="5"/>
      <c r="C44" s="182" t="s">
        <v>335</v>
      </c>
      <c r="D44" s="313">
        <v>0</v>
      </c>
      <c r="E44" s="76"/>
      <c r="F44" s="314">
        <v>0.1</v>
      </c>
      <c r="H44" s="231"/>
      <c r="K44" s="18"/>
      <c r="L44" s="6"/>
      <c r="M44" s="17"/>
      <c r="N44" s="6"/>
      <c r="P44" s="107"/>
      <c r="Q44" s="9"/>
      <c r="R44" s="16"/>
      <c r="T44" s="1"/>
    </row>
    <row r="45" spans="1:20" s="4" customFormat="1" ht="12.75" customHeight="1">
      <c r="A45" s="1"/>
      <c r="B45" s="5"/>
      <c r="C45" s="182" t="s">
        <v>339</v>
      </c>
      <c r="D45" s="313">
        <v>0</v>
      </c>
      <c r="E45" s="76"/>
      <c r="F45" s="314">
        <v>0.1</v>
      </c>
      <c r="H45" s="231"/>
      <c r="K45" s="18"/>
      <c r="L45" s="6"/>
      <c r="M45" s="17"/>
      <c r="N45" s="6"/>
      <c r="P45" s="107"/>
      <c r="Q45" s="9"/>
      <c r="R45" s="16"/>
      <c r="T45" s="1"/>
    </row>
    <row r="46" spans="1:20" s="4" customFormat="1" ht="12.75" customHeight="1">
      <c r="A46" s="1"/>
      <c r="B46" s="5"/>
      <c r="C46" s="182" t="s">
        <v>340</v>
      </c>
      <c r="D46" s="313">
        <v>0</v>
      </c>
      <c r="E46" s="76"/>
      <c r="F46" s="314">
        <v>0.1</v>
      </c>
      <c r="H46" s="231"/>
      <c r="K46" s="18"/>
      <c r="L46" s="6"/>
      <c r="M46" s="17"/>
      <c r="N46" s="6"/>
      <c r="P46" s="107"/>
      <c r="Q46" s="9"/>
      <c r="R46" s="16"/>
      <c r="T46" s="1"/>
    </row>
    <row r="47" spans="1:20" s="4" customFormat="1" ht="12.75" customHeight="1">
      <c r="A47" s="1"/>
      <c r="B47" s="5"/>
      <c r="C47" s="444"/>
      <c r="D47" s="445"/>
      <c r="E47" s="445"/>
      <c r="F47" s="445"/>
      <c r="H47" s="231"/>
      <c r="K47" s="18"/>
      <c r="L47" s="6"/>
      <c r="M47" s="17"/>
      <c r="N47" s="6"/>
      <c r="P47" s="107"/>
      <c r="Q47" s="9"/>
      <c r="R47" s="16"/>
      <c r="T47" s="1"/>
    </row>
    <row r="48" spans="1:20" s="4" customFormat="1" ht="12.75" customHeight="1">
      <c r="A48" s="1"/>
      <c r="B48" s="5"/>
      <c r="C48" s="239" t="s">
        <v>267</v>
      </c>
      <c r="D48" s="240">
        <f>SUM(D29:D36)+SUM(D39:D46)</f>
        <v>1000</v>
      </c>
      <c r="E48" s="241"/>
      <c r="F48" s="242">
        <f>IF(ISERROR((((SUMPRODUCT(D29:D36,F29:F36)+(SUMPRODUCT(D39:D46,F39:F46)))/SUM(D29:D36,D39:D46)))),"-",(((SUMPRODUCT(D29:D36,F29:F36)+(SUMPRODUCT(D39:D46,F39:F46)))/SUM(D29:D36,D39:D46))))</f>
        <v>0.295</v>
      </c>
      <c r="H48" s="231"/>
      <c r="K48" s="18"/>
      <c r="L48" s="6"/>
      <c r="M48" s="17"/>
      <c r="N48" s="6"/>
      <c r="P48" s="107"/>
      <c r="Q48" s="9"/>
      <c r="R48" s="16"/>
      <c r="T48" s="1"/>
    </row>
    <row r="49" spans="1:20" s="4" customFormat="1" ht="12.75" customHeight="1">
      <c r="A49" s="1"/>
      <c r="B49" s="5"/>
      <c r="C49" s="212"/>
      <c r="D49" s="58"/>
      <c r="E49" s="372"/>
      <c r="F49" s="22"/>
      <c r="H49" s="231"/>
      <c r="K49" s="18"/>
      <c r="L49" s="6"/>
      <c r="M49" s="17"/>
      <c r="N49" s="6"/>
      <c r="P49" s="107"/>
      <c r="Q49" s="9"/>
      <c r="R49" s="16"/>
      <c r="T49" s="1"/>
    </row>
    <row r="50" spans="1:20" s="4" customFormat="1" ht="12.75" customHeight="1">
      <c r="A50" s="1"/>
      <c r="B50" s="5"/>
      <c r="C50" s="218" t="s">
        <v>248</v>
      </c>
      <c r="E50" s="76"/>
      <c r="F50" s="28"/>
      <c r="H50" s="231"/>
      <c r="K50" s="18"/>
      <c r="L50" s="6"/>
      <c r="M50" s="17"/>
      <c r="N50" s="6"/>
      <c r="P50" s="107"/>
      <c r="Q50" s="9"/>
      <c r="R50" s="16"/>
      <c r="T50" s="1"/>
    </row>
    <row r="51" spans="1:20" s="4" customFormat="1" ht="12.75" customHeight="1">
      <c r="A51" s="1"/>
      <c r="B51" s="5"/>
      <c r="C51" s="182"/>
      <c r="D51" s="235" t="s">
        <v>255</v>
      </c>
      <c r="E51" s="222"/>
      <c r="F51" s="235" t="s">
        <v>359</v>
      </c>
      <c r="H51" s="231"/>
      <c r="K51" s="18"/>
      <c r="L51" s="6"/>
      <c r="M51" s="17"/>
      <c r="N51" s="6"/>
      <c r="P51" s="107"/>
      <c r="Q51" s="9"/>
      <c r="R51" s="16"/>
      <c r="T51" s="1"/>
    </row>
    <row r="52" spans="1:20" s="4" customFormat="1" ht="72">
      <c r="A52" s="1"/>
      <c r="B52" s="5"/>
      <c r="C52" s="212" t="s">
        <v>258</v>
      </c>
      <c r="D52" s="215" t="s">
        <v>263</v>
      </c>
      <c r="E52" s="214"/>
      <c r="F52" s="215" t="s">
        <v>264</v>
      </c>
      <c r="H52" s="244" t="s">
        <v>14</v>
      </c>
      <c r="K52" s="18"/>
      <c r="L52" s="6"/>
      <c r="M52" s="17"/>
      <c r="N52" s="6"/>
      <c r="P52" s="107"/>
      <c r="Q52" s="9"/>
      <c r="R52" s="16"/>
      <c r="T52" s="1"/>
    </row>
    <row r="53" spans="1:20" s="4" customFormat="1" ht="12.75" customHeight="1">
      <c r="A53" s="1"/>
      <c r="B53" s="5"/>
      <c r="C53" s="182" t="s">
        <v>336</v>
      </c>
      <c r="D53" s="313">
        <v>10</v>
      </c>
      <c r="F53" s="313">
        <v>20</v>
      </c>
      <c r="H53" s="231"/>
      <c r="K53" s="18"/>
      <c r="L53" s="6"/>
      <c r="M53" s="17"/>
      <c r="N53" s="6"/>
      <c r="P53" s="107"/>
      <c r="Q53" s="9"/>
      <c r="R53" s="16"/>
      <c r="T53" s="1"/>
    </row>
    <row r="54" spans="1:20" s="4" customFormat="1" ht="12.75" customHeight="1">
      <c r="A54" s="1"/>
      <c r="B54" s="5"/>
      <c r="C54" s="182" t="s">
        <v>337</v>
      </c>
      <c r="D54" s="313">
        <v>10</v>
      </c>
      <c r="F54" s="313">
        <v>20</v>
      </c>
      <c r="H54" s="231"/>
      <c r="K54" s="18"/>
      <c r="L54" s="6"/>
      <c r="M54" s="17"/>
      <c r="N54" s="6"/>
      <c r="P54" s="107"/>
      <c r="Q54" s="9"/>
      <c r="R54" s="16"/>
      <c r="T54" s="1"/>
    </row>
    <row r="55" spans="1:20" s="4" customFormat="1" ht="12.75" customHeight="1">
      <c r="A55" s="1"/>
      <c r="B55" s="5"/>
      <c r="C55" s="182" t="s">
        <v>338</v>
      </c>
      <c r="D55" s="313">
        <v>10</v>
      </c>
      <c r="F55" s="313">
        <v>20</v>
      </c>
      <c r="H55" s="231"/>
      <c r="K55" s="18"/>
      <c r="L55" s="6"/>
      <c r="M55" s="17"/>
      <c r="N55" s="6"/>
      <c r="P55" s="107"/>
      <c r="Q55" s="9"/>
      <c r="R55" s="16"/>
      <c r="T55" s="1"/>
    </row>
    <row r="56" spans="1:20" s="4" customFormat="1" ht="12.75" customHeight="1">
      <c r="A56" s="1"/>
      <c r="B56" s="5"/>
      <c r="C56" s="182" t="s">
        <v>377</v>
      </c>
      <c r="D56" s="313">
        <v>10</v>
      </c>
      <c r="F56" s="313">
        <v>20</v>
      </c>
      <c r="H56" s="231"/>
      <c r="K56" s="18"/>
      <c r="L56" s="6"/>
      <c r="M56" s="17"/>
      <c r="N56" s="6"/>
      <c r="P56" s="107"/>
      <c r="Q56" s="9"/>
      <c r="R56" s="16"/>
      <c r="T56" s="1"/>
    </row>
    <row r="57" spans="1:20" s="4" customFormat="1" ht="12.75" customHeight="1">
      <c r="A57" s="1"/>
      <c r="B57" s="5"/>
      <c r="C57" s="182" t="s">
        <v>334</v>
      </c>
      <c r="D57" s="313">
        <v>10</v>
      </c>
      <c r="F57" s="313">
        <v>20</v>
      </c>
      <c r="H57" s="231"/>
      <c r="K57" s="18"/>
      <c r="L57" s="6"/>
      <c r="M57" s="17"/>
      <c r="N57" s="6"/>
      <c r="P57" s="107"/>
      <c r="Q57" s="9"/>
      <c r="R57" s="16"/>
      <c r="T57" s="1"/>
    </row>
    <row r="58" spans="1:20" s="4" customFormat="1" ht="12.75" customHeight="1">
      <c r="A58" s="1"/>
      <c r="B58" s="5"/>
      <c r="C58" s="182" t="s">
        <v>335</v>
      </c>
      <c r="D58" s="313">
        <v>10</v>
      </c>
      <c r="F58" s="313">
        <v>20</v>
      </c>
      <c r="H58" s="231"/>
      <c r="K58" s="18"/>
      <c r="L58" s="6"/>
      <c r="M58" s="17"/>
      <c r="N58" s="6"/>
      <c r="P58" s="107"/>
      <c r="Q58" s="9"/>
      <c r="R58" s="16"/>
      <c r="T58" s="1"/>
    </row>
    <row r="59" spans="1:20" s="4" customFormat="1" ht="12.75" customHeight="1">
      <c r="A59" s="1"/>
      <c r="B59" s="5"/>
      <c r="C59" s="182" t="s">
        <v>339</v>
      </c>
      <c r="D59" s="313">
        <v>10</v>
      </c>
      <c r="F59" s="313">
        <v>20</v>
      </c>
      <c r="H59" s="231"/>
      <c r="K59" s="18"/>
      <c r="L59" s="6"/>
      <c r="M59" s="17"/>
      <c r="N59" s="6"/>
      <c r="P59" s="107"/>
      <c r="Q59" s="9"/>
      <c r="R59" s="16"/>
      <c r="T59" s="1"/>
    </row>
    <row r="60" spans="1:20" s="4" customFormat="1" ht="12.75" customHeight="1">
      <c r="A60" s="1"/>
      <c r="B60" s="5"/>
      <c r="C60" s="182" t="s">
        <v>340</v>
      </c>
      <c r="D60" s="313">
        <v>10</v>
      </c>
      <c r="F60" s="313">
        <v>20</v>
      </c>
      <c r="H60" s="231"/>
      <c r="K60" s="18"/>
      <c r="L60" s="6"/>
      <c r="M60" s="17"/>
      <c r="N60" s="6"/>
      <c r="P60" s="107"/>
      <c r="Q60" s="9"/>
      <c r="R60" s="16"/>
      <c r="T60" s="1"/>
    </row>
    <row r="61" spans="1:20" s="4" customFormat="1" ht="12.75" customHeight="1">
      <c r="A61" s="1"/>
      <c r="B61" s="5"/>
      <c r="C61" s="178"/>
      <c r="H61" s="231"/>
      <c r="K61" s="18"/>
      <c r="L61" s="6"/>
      <c r="M61" s="17"/>
      <c r="N61" s="6"/>
      <c r="P61" s="107"/>
      <c r="Q61" s="9"/>
      <c r="R61" s="16"/>
      <c r="T61" s="1"/>
    </row>
    <row r="62" spans="1:20" s="4" customFormat="1" ht="12.75" customHeight="1">
      <c r="A62" s="1"/>
      <c r="B62" s="5"/>
      <c r="C62" s="239" t="s">
        <v>268</v>
      </c>
      <c r="D62" s="240">
        <f>SUMPRODUCT(D29:D36,F29:F36,D53:D60)+SUMPRODUCT(D39:D46,F39:F46,D53:D60)</f>
        <v>2950</v>
      </c>
      <c r="E62" s="243"/>
      <c r="F62" s="240">
        <f>SUMPRODUCT(D29:D36,F29:F36,F53:F60)+SUMPRODUCT(D39:D46,F39:F46,F53:F60)</f>
        <v>5900</v>
      </c>
      <c r="H62" s="231"/>
      <c r="K62" s="18"/>
      <c r="L62" s="6"/>
      <c r="M62" s="17"/>
      <c r="N62" s="6"/>
      <c r="P62" s="107"/>
      <c r="Q62" s="9"/>
      <c r="R62" s="16"/>
      <c r="T62" s="1"/>
    </row>
    <row r="63" spans="1:20" s="4" customFormat="1" ht="12.75" customHeight="1">
      <c r="A63" s="1"/>
      <c r="B63" s="5"/>
      <c r="C63" s="129"/>
      <c r="H63" s="231"/>
      <c r="P63" s="107"/>
      <c r="Q63" s="9"/>
      <c r="R63" s="16"/>
      <c r="T63" s="1"/>
    </row>
    <row r="64" spans="1:20" s="4" customFormat="1" ht="12.75" customHeight="1">
      <c r="A64" s="1"/>
      <c r="B64" s="5"/>
      <c r="C64" s="227"/>
      <c r="D64" s="101"/>
      <c r="E64" s="219"/>
      <c r="F64" s="140"/>
      <c r="G64" s="101"/>
      <c r="H64" s="101"/>
      <c r="I64" s="101"/>
      <c r="J64" s="44"/>
      <c r="K64" s="100"/>
      <c r="L64" s="44"/>
      <c r="M64" s="101"/>
      <c r="N64" s="101"/>
      <c r="O64" s="101"/>
      <c r="P64" s="108"/>
      <c r="Q64" s="9"/>
      <c r="R64" s="16"/>
      <c r="T64" s="1"/>
    </row>
    <row r="65" spans="2:17" ht="13.5" thickBot="1">
      <c r="B65" s="20"/>
      <c r="C65" s="173"/>
      <c r="D65" s="21"/>
      <c r="E65" s="21"/>
      <c r="F65" s="21"/>
      <c r="G65" s="21"/>
      <c r="H65" s="21"/>
      <c r="I65" s="21"/>
      <c r="J65" s="21"/>
      <c r="K65" s="21"/>
      <c r="L65" s="21"/>
      <c r="M65" s="21"/>
      <c r="N65" s="21"/>
      <c r="O65" s="21"/>
      <c r="P65" s="31"/>
      <c r="Q65" s="55"/>
    </row>
    <row r="66" spans="3:13" ht="12.75">
      <c r="C66" s="18"/>
      <c r="D66" s="4"/>
      <c r="I66" s="4"/>
      <c r="J66" s="4"/>
      <c r="M66" s="4"/>
    </row>
    <row r="67" spans="3:13" ht="12.75">
      <c r="C67" s="57" t="s">
        <v>391</v>
      </c>
      <c r="D67" s="4"/>
      <c r="I67" s="4"/>
      <c r="J67" s="4"/>
      <c r="M67" s="4"/>
    </row>
    <row r="68" spans="3:13" ht="12.75">
      <c r="C68" s="4"/>
      <c r="D68" s="4"/>
      <c r="E68" s="4"/>
      <c r="F68" s="4"/>
      <c r="G68" s="4"/>
      <c r="H68" s="4"/>
      <c r="I68" s="4"/>
      <c r="J68" s="4"/>
      <c r="M68" s="4"/>
    </row>
    <row r="69" spans="4:13" ht="12.75">
      <c r="D69" s="4"/>
      <c r="E69" s="4"/>
      <c r="F69" s="4"/>
      <c r="G69" s="4"/>
      <c r="H69" s="4"/>
      <c r="I69" s="4"/>
      <c r="J69" s="4"/>
      <c r="M69" s="4"/>
    </row>
    <row r="70" spans="4:13" ht="12.75">
      <c r="D70" s="7"/>
      <c r="E70" s="7"/>
      <c r="F70" s="4"/>
      <c r="G70" s="4"/>
      <c r="H70" s="4"/>
      <c r="I70" s="4"/>
      <c r="J70" s="4"/>
      <c r="M70" s="4"/>
    </row>
    <row r="71" spans="3:4" ht="12.75">
      <c r="C71" s="4"/>
      <c r="D71" s="4"/>
    </row>
    <row r="91" ht="13.5" thickBot="1"/>
    <row r="92" spans="2:8" ht="15.75">
      <c r="B92" s="302"/>
      <c r="C92" s="303" t="s">
        <v>276</v>
      </c>
      <c r="D92" s="304"/>
      <c r="E92" s="304"/>
      <c r="F92" s="304"/>
      <c r="G92" s="304"/>
      <c r="H92" s="305"/>
    </row>
    <row r="93" spans="2:10" ht="12.75">
      <c r="B93" s="306"/>
      <c r="C93" s="320"/>
      <c r="D93" s="319"/>
      <c r="E93" s="16"/>
      <c r="F93" s="16"/>
      <c r="G93" s="16"/>
      <c r="H93" s="308"/>
      <c r="I93" s="26"/>
      <c r="J93" s="26"/>
    </row>
    <row r="94" spans="2:19" ht="12.75">
      <c r="B94" s="306"/>
      <c r="C94" s="320" t="s">
        <v>57</v>
      </c>
      <c r="D94" s="319"/>
      <c r="E94" s="16"/>
      <c r="F94" s="16"/>
      <c r="G94" s="16"/>
      <c r="H94" s="308"/>
      <c r="I94" s="26"/>
      <c r="J94" s="26"/>
      <c r="P94" s="1"/>
      <c r="Q94" s="1"/>
      <c r="R94" s="1"/>
      <c r="S94" s="1"/>
    </row>
    <row r="95" spans="2:19" ht="12.75">
      <c r="B95" s="306"/>
      <c r="C95" s="315" t="s">
        <v>16</v>
      </c>
      <c r="D95" s="319"/>
      <c r="E95" s="16"/>
      <c r="F95" s="16"/>
      <c r="G95" s="16"/>
      <c r="H95" s="308"/>
      <c r="I95" s="26"/>
      <c r="J95" s="26"/>
      <c r="P95" s="1"/>
      <c r="Q95" s="1"/>
      <c r="R95" s="1"/>
      <c r="S95" s="1"/>
    </row>
    <row r="96" spans="2:19" ht="12.75">
      <c r="B96" s="306"/>
      <c r="C96" s="316" t="s">
        <v>6</v>
      </c>
      <c r="D96" s="319"/>
      <c r="E96" s="16"/>
      <c r="F96" s="16"/>
      <c r="G96" s="16"/>
      <c r="H96" s="308"/>
      <c r="I96" s="26"/>
      <c r="J96" s="26"/>
      <c r="P96" s="1"/>
      <c r="Q96" s="1"/>
      <c r="R96" s="1"/>
      <c r="S96" s="1"/>
    </row>
    <row r="97" spans="2:19" ht="12.75">
      <c r="B97" s="306"/>
      <c r="C97" s="316" t="s">
        <v>7</v>
      </c>
      <c r="D97" s="319"/>
      <c r="E97" s="16"/>
      <c r="F97" s="16"/>
      <c r="G97" s="16"/>
      <c r="H97" s="308"/>
      <c r="I97" s="26"/>
      <c r="J97" s="26"/>
      <c r="P97" s="1"/>
      <c r="Q97" s="1"/>
      <c r="R97" s="1"/>
      <c r="S97" s="1"/>
    </row>
    <row r="98" spans="2:19" ht="12.75">
      <c r="B98" s="306"/>
      <c r="C98" s="316">
        <v>1</v>
      </c>
      <c r="D98" s="319"/>
      <c r="E98" s="16"/>
      <c r="F98" s="16"/>
      <c r="G98" s="16"/>
      <c r="H98" s="308"/>
      <c r="I98" s="26"/>
      <c r="J98" s="26"/>
      <c r="P98" s="1"/>
      <c r="Q98" s="1"/>
      <c r="R98" s="1"/>
      <c r="S98" s="1"/>
    </row>
    <row r="99" spans="2:19" ht="12.75">
      <c r="B99" s="306"/>
      <c r="C99" s="317" t="str">
        <f ca="1">OFFSET(C95,C98,0)</f>
        <v>Linux/Unix</v>
      </c>
      <c r="D99" s="319"/>
      <c r="E99" s="16"/>
      <c r="F99" s="16"/>
      <c r="G99" s="16"/>
      <c r="H99" s="308"/>
      <c r="I99" s="26"/>
      <c r="J99" s="26"/>
      <c r="P99" s="1"/>
      <c r="Q99" s="1"/>
      <c r="R99" s="1"/>
      <c r="S99" s="1"/>
    </row>
    <row r="100" spans="2:19" ht="12.75">
      <c r="B100" s="306"/>
      <c r="C100" s="318"/>
      <c r="D100" s="318"/>
      <c r="E100" s="17"/>
      <c r="F100" s="17"/>
      <c r="G100" s="17"/>
      <c r="H100" s="309"/>
      <c r="I100" s="19"/>
      <c r="J100" s="19"/>
      <c r="P100" s="1"/>
      <c r="Q100" s="1"/>
      <c r="R100" s="1"/>
      <c r="S100" s="1"/>
    </row>
    <row r="101" spans="2:19" ht="12.75">
      <c r="B101" s="306"/>
      <c r="C101" s="318"/>
      <c r="D101" s="318"/>
      <c r="E101" s="17"/>
      <c r="F101" s="17"/>
      <c r="G101" s="17"/>
      <c r="H101" s="309"/>
      <c r="I101" s="19"/>
      <c r="J101" s="19"/>
      <c r="P101" s="1"/>
      <c r="Q101" s="1"/>
      <c r="R101" s="1"/>
      <c r="S101" s="1"/>
    </row>
    <row r="102" spans="2:19" ht="12.75">
      <c r="B102" s="306"/>
      <c r="C102" s="318" t="s">
        <v>390</v>
      </c>
      <c r="D102" s="321"/>
      <c r="E102" s="4"/>
      <c r="F102" s="4"/>
      <c r="G102" s="4"/>
      <c r="H102" s="307"/>
      <c r="P102" s="1"/>
      <c r="Q102" s="1"/>
      <c r="R102" s="1"/>
      <c r="S102" s="1"/>
    </row>
    <row r="103" spans="2:19" ht="12.75">
      <c r="B103" s="306"/>
      <c r="C103" s="322" t="s">
        <v>15</v>
      </c>
      <c r="D103" s="323" t="s">
        <v>54</v>
      </c>
      <c r="E103" s="4"/>
      <c r="F103" s="4"/>
      <c r="G103" s="4"/>
      <c r="H103" s="307"/>
      <c r="P103" s="1"/>
      <c r="Q103" s="1"/>
      <c r="R103" s="1"/>
      <c r="S103" s="1"/>
    </row>
    <row r="104" spans="2:19" ht="12.75">
      <c r="B104" s="306"/>
      <c r="C104" s="367" t="s">
        <v>14</v>
      </c>
      <c r="D104" s="324">
        <f>'3) On-Site'!D17</f>
        <v>2572633.5519125685</v>
      </c>
      <c r="E104" s="4"/>
      <c r="F104" s="301"/>
      <c r="G104" s="4"/>
      <c r="H104" s="307"/>
      <c r="P104" s="1"/>
      <c r="Q104" s="1"/>
      <c r="R104" s="1"/>
      <c r="S104" s="1"/>
    </row>
    <row r="105" spans="2:19" ht="12.75">
      <c r="B105" s="306"/>
      <c r="C105" s="367" t="s">
        <v>53</v>
      </c>
      <c r="D105" s="325">
        <f>'2) Co-Location'!D16</f>
        <v>1195445.9453551914</v>
      </c>
      <c r="E105" s="4"/>
      <c r="F105" s="4"/>
      <c r="G105" s="4"/>
      <c r="H105" s="307"/>
      <c r="P105" s="1"/>
      <c r="Q105" s="1"/>
      <c r="R105" s="1"/>
      <c r="S105" s="1"/>
    </row>
    <row r="106" spans="2:19" ht="12.75">
      <c r="B106" s="306"/>
      <c r="C106" s="418" t="s">
        <v>419</v>
      </c>
      <c r="D106" s="325">
        <f>'1) Amazon EC2'!D25</f>
        <v>119762.56</v>
      </c>
      <c r="E106" s="4"/>
      <c r="F106" s="301"/>
      <c r="G106" s="4"/>
      <c r="H106" s="307"/>
      <c r="P106" s="1"/>
      <c r="Q106" s="1"/>
      <c r="R106" s="1"/>
      <c r="S106" s="1"/>
    </row>
    <row r="107" spans="2:19" ht="12.75">
      <c r="B107" s="306"/>
      <c r="C107" s="418" t="s">
        <v>420</v>
      </c>
      <c r="D107" s="325">
        <f>'1) Amazon EC2'!D19</f>
        <v>152590.56</v>
      </c>
      <c r="E107" s="4"/>
      <c r="F107" s="4"/>
      <c r="G107" s="4"/>
      <c r="H107" s="307"/>
      <c r="P107" s="1"/>
      <c r="Q107" s="1"/>
      <c r="R107" s="1"/>
      <c r="S107" s="1"/>
    </row>
    <row r="108" spans="2:19" ht="12.75">
      <c r="B108" s="306"/>
      <c r="C108" s="368" t="s">
        <v>325</v>
      </c>
      <c r="D108" s="326">
        <f>'1) Amazon EC2'!D13</f>
        <v>214664.16</v>
      </c>
      <c r="E108" s="4"/>
      <c r="F108" s="4"/>
      <c r="G108" s="4"/>
      <c r="H108" s="307"/>
      <c r="P108" s="1"/>
      <c r="Q108" s="1"/>
      <c r="R108" s="1"/>
      <c r="S108" s="1"/>
    </row>
    <row r="109" spans="2:19" ht="12.75">
      <c r="B109" s="306"/>
      <c r="C109" s="320"/>
      <c r="D109" s="318"/>
      <c r="E109" s="4"/>
      <c r="F109" s="4"/>
      <c r="G109" s="4"/>
      <c r="H109" s="307"/>
      <c r="P109" s="1"/>
      <c r="Q109" s="1"/>
      <c r="R109" s="1"/>
      <c r="S109" s="1"/>
    </row>
    <row r="110" spans="2:19" ht="12.75">
      <c r="B110" s="306"/>
      <c r="C110" s="320"/>
      <c r="D110" s="318"/>
      <c r="E110" s="4"/>
      <c r="F110" s="4"/>
      <c r="G110" s="4"/>
      <c r="H110" s="307"/>
      <c r="P110" s="1"/>
      <c r="Q110" s="1"/>
      <c r="R110" s="1"/>
      <c r="S110" s="1"/>
    </row>
    <row r="111" spans="2:19" ht="12.75">
      <c r="B111" s="306"/>
      <c r="C111" s="318" t="s">
        <v>326</v>
      </c>
      <c r="D111" s="318"/>
      <c r="E111" s="4"/>
      <c r="F111" s="4"/>
      <c r="G111" s="4"/>
      <c r="H111" s="307"/>
      <c r="P111" s="1"/>
      <c r="Q111" s="1"/>
      <c r="R111" s="1"/>
      <c r="S111" s="1"/>
    </row>
    <row r="112" spans="2:8" ht="12.75">
      <c r="B112" s="306"/>
      <c r="C112" s="327"/>
      <c r="D112" s="323" t="s">
        <v>54</v>
      </c>
      <c r="E112" s="4"/>
      <c r="F112" s="4"/>
      <c r="G112" s="4"/>
      <c r="H112" s="307"/>
    </row>
    <row r="113" spans="2:8" ht="12.75">
      <c r="B113" s="306"/>
      <c r="C113" s="328" t="s">
        <v>274</v>
      </c>
      <c r="D113" s="324">
        <f>IF(C99="Linux/Unix",SUM('1) Amazon EC2'!D22:D23),'1) Amazon EC2'!D11)</f>
        <v>111268</v>
      </c>
      <c r="E113" s="4"/>
      <c r="F113" s="4"/>
      <c r="G113" s="4"/>
      <c r="H113" s="307"/>
    </row>
    <row r="114" spans="2:8" ht="12.75">
      <c r="B114" s="306"/>
      <c r="C114" s="329" t="s">
        <v>159</v>
      </c>
      <c r="D114" s="330">
        <f>'1) Amazon EC2'!D12</f>
        <v>8494.56</v>
      </c>
      <c r="E114" s="4"/>
      <c r="F114" s="4"/>
      <c r="G114" s="4"/>
      <c r="H114" s="307"/>
    </row>
    <row r="115" spans="2:8" ht="13.5" thickBot="1">
      <c r="B115" s="310"/>
      <c r="C115" s="311"/>
      <c r="D115" s="311"/>
      <c r="E115" s="311"/>
      <c r="F115" s="311"/>
      <c r="G115" s="311"/>
      <c r="H115" s="312"/>
    </row>
    <row r="117" ht="12.75">
      <c r="C117" s="57" t="s">
        <v>386</v>
      </c>
    </row>
  </sheetData>
  <sheetProtection/>
  <mergeCells count="5">
    <mergeCell ref="C5:P5"/>
    <mergeCell ref="C8:P8"/>
    <mergeCell ref="H11:P11"/>
    <mergeCell ref="C47:F47"/>
    <mergeCell ref="H22:P26"/>
  </mergeCells>
  <hyperlinks>
    <hyperlink ref="L1" location="AmazonEC2_Goto" display="Go to Amazon EC2"/>
    <hyperlink ref="N1" location="Colo_Goto" display="Go to Co-Location"/>
    <hyperlink ref="P1" location="Onsite_Goto" display="Go to On-Site"/>
    <hyperlink ref="C1" r:id="rId1" display="AWS Economics Center"/>
    <hyperlink ref="D1" r:id="rId2" display="User Guide"/>
  </hyperlinks>
  <printOptions/>
  <pageMargins left="0.7" right="0.7" top="0.75" bottom="0.75" header="0.3" footer="0.3"/>
  <pageSetup fitToHeight="2" fitToWidth="1" horizontalDpi="600" verticalDpi="600" orientation="portrait" scale="69" r:id="rId5"/>
  <ignoredErrors>
    <ignoredError sqref="D27 D37:F37 D51:F51 F27 D23" numberStoredAsText="1"/>
  </ignoredErrors>
  <drawing r:id="rId4"/>
  <legacyDrawing r:id="rId3"/>
</worksheet>
</file>

<file path=xl/worksheets/sheet3.xml><?xml version="1.0" encoding="utf-8"?>
<worksheet xmlns="http://schemas.openxmlformats.org/spreadsheetml/2006/main" xmlns:r="http://schemas.openxmlformats.org/officeDocument/2006/relationships">
  <sheetPr codeName="Sheet9">
    <pageSetUpPr fitToPage="1"/>
  </sheetPr>
  <dimension ref="A1:AG288"/>
  <sheetViews>
    <sheetView showGridLines="0" zoomScale="115" zoomScaleNormal="115" zoomScalePageLayoutView="0" workbookViewId="0" topLeftCell="A1">
      <pane ySplit="1" topLeftCell="A2" activePane="bottomLeft" state="frozen"/>
      <selection pane="topLeft" activeCell="Q1" activeCellId="6" sqref="E1:E16384 G1:G16384 I1:I16384 K1:K16384 M1:M16384 O1:O16384 Q1:Q16384"/>
      <selection pane="bottomLeft" activeCell="A2" sqref="A2"/>
    </sheetView>
  </sheetViews>
  <sheetFormatPr defaultColWidth="9.140625" defaultRowHeight="15"/>
  <cols>
    <col min="1" max="2" width="3.140625" style="1" customWidth="1"/>
    <col min="3" max="3" width="32.57421875" style="1" customWidth="1"/>
    <col min="4" max="4" width="11.8515625" style="1" customWidth="1"/>
    <col min="5" max="5" width="3.28125" style="1" customWidth="1"/>
    <col min="6" max="6" width="11.8515625" style="1" customWidth="1"/>
    <col min="7" max="7" width="3.28125" style="1" customWidth="1"/>
    <col min="8" max="8" width="11.8515625" style="1" customWidth="1"/>
    <col min="9" max="9" width="3.28125" style="1" customWidth="1"/>
    <col min="10" max="10" width="11.8515625" style="1" customWidth="1"/>
    <col min="11" max="11" width="3.28125" style="1" customWidth="1"/>
    <col min="12" max="12" width="11.8515625" style="1" customWidth="1"/>
    <col min="13" max="13" width="3.28125" style="1" customWidth="1"/>
    <col min="14" max="14" width="11.8515625" style="1" customWidth="1"/>
    <col min="15" max="15" width="3.28125" style="1" customWidth="1"/>
    <col min="16" max="16" width="11.8515625" style="1" customWidth="1"/>
    <col min="17" max="17" width="3.28125" style="1" customWidth="1"/>
    <col min="18" max="18" width="11.8515625" style="1" customWidth="1"/>
    <col min="19" max="19" width="3.28125" style="1" customWidth="1"/>
    <col min="20" max="21" width="11.8515625" style="1" customWidth="1"/>
    <col min="22" max="22" width="11.8515625" style="7" customWidth="1"/>
    <col min="23" max="23" width="3.28125" style="7" customWidth="1"/>
    <col min="24" max="24" width="12.00390625" style="16" customWidth="1"/>
    <col min="25" max="25" width="1.57421875" style="4" customWidth="1"/>
    <col min="26" max="16384" width="9.140625" style="1" customWidth="1"/>
  </cols>
  <sheetData>
    <row r="1" spans="3:21" ht="13.5" thickBot="1">
      <c r="C1" s="398" t="s">
        <v>373</v>
      </c>
      <c r="D1" s="412" t="s">
        <v>372</v>
      </c>
      <c r="H1" s="238"/>
      <c r="J1" s="122" t="s">
        <v>327</v>
      </c>
      <c r="K1" s="7"/>
      <c r="L1" s="237" t="s">
        <v>271</v>
      </c>
      <c r="M1" s="7"/>
      <c r="N1" s="245" t="s">
        <v>272</v>
      </c>
      <c r="O1" s="7"/>
      <c r="P1" s="245" t="s">
        <v>273</v>
      </c>
      <c r="Q1" s="7"/>
      <c r="R1" s="245"/>
      <c r="S1" s="7"/>
      <c r="U1" s="245"/>
    </row>
    <row r="2" spans="2:23" ht="12.75">
      <c r="B2" s="67"/>
      <c r="C2" s="2"/>
      <c r="D2" s="2"/>
      <c r="E2" s="2"/>
      <c r="F2" s="2"/>
      <c r="G2" s="2"/>
      <c r="H2" s="2"/>
      <c r="I2" s="2"/>
      <c r="J2" s="2"/>
      <c r="K2" s="2"/>
      <c r="L2" s="2"/>
      <c r="M2" s="2"/>
      <c r="N2" s="2"/>
      <c r="O2" s="2"/>
      <c r="P2" s="2"/>
      <c r="Q2" s="2"/>
      <c r="R2" s="2"/>
      <c r="S2" s="2"/>
      <c r="T2" s="2"/>
      <c r="U2" s="2"/>
      <c r="V2" s="30"/>
      <c r="W2" s="51"/>
    </row>
    <row r="3" spans="1:27" s="4" customFormat="1" ht="21">
      <c r="A3" s="1"/>
      <c r="B3" s="5"/>
      <c r="C3" s="401" t="s">
        <v>125</v>
      </c>
      <c r="W3" s="52"/>
      <c r="X3" s="16"/>
      <c r="Z3" s="7"/>
      <c r="AA3" s="1"/>
    </row>
    <row r="4" spans="1:27" s="4" customFormat="1" ht="15.75">
      <c r="A4" s="1"/>
      <c r="B4" s="5"/>
      <c r="C4" s="103" t="s">
        <v>56</v>
      </c>
      <c r="V4" s="7"/>
      <c r="W4" s="52"/>
      <c r="X4" s="16"/>
      <c r="Z4" s="1"/>
      <c r="AA4" s="1"/>
    </row>
    <row r="5" spans="1:33" s="4" customFormat="1" ht="12.75">
      <c r="A5" s="1"/>
      <c r="B5" s="5"/>
      <c r="C5" s="4" t="s">
        <v>275</v>
      </c>
      <c r="D5" s="7"/>
      <c r="E5" s="7"/>
      <c r="W5" s="52"/>
      <c r="X5" s="16"/>
      <c r="Z5" s="1"/>
      <c r="AB5" s="7"/>
      <c r="AC5" s="13"/>
      <c r="AE5" s="13"/>
      <c r="AG5" s="13"/>
    </row>
    <row r="6" spans="1:27" s="4" customFormat="1" ht="15.75">
      <c r="A6" s="1"/>
      <c r="B6" s="5"/>
      <c r="C6" s="104" t="s">
        <v>59</v>
      </c>
      <c r="D6" s="37"/>
      <c r="E6" s="38"/>
      <c r="F6" s="37"/>
      <c r="G6" s="38"/>
      <c r="H6" s="37"/>
      <c r="I6" s="38"/>
      <c r="J6" s="37"/>
      <c r="K6" s="38"/>
      <c r="L6" s="37"/>
      <c r="M6" s="39"/>
      <c r="N6" s="39"/>
      <c r="O6" s="39"/>
      <c r="P6" s="37"/>
      <c r="Q6" s="39"/>
      <c r="R6" s="39"/>
      <c r="S6" s="39"/>
      <c r="T6" s="39"/>
      <c r="U6" s="39"/>
      <c r="V6" s="38"/>
      <c r="W6" s="246"/>
      <c r="X6" s="56"/>
      <c r="Z6" s="1"/>
      <c r="AA6" s="1"/>
    </row>
    <row r="7" spans="1:27" s="4" customFormat="1" ht="12.75" customHeight="1">
      <c r="A7" s="1"/>
      <c r="B7" s="5"/>
      <c r="C7" s="41"/>
      <c r="D7" s="6"/>
      <c r="E7" s="6"/>
      <c r="F7" s="10"/>
      <c r="G7" s="17"/>
      <c r="H7" s="13"/>
      <c r="I7" s="16"/>
      <c r="J7" s="13"/>
      <c r="K7" s="17"/>
      <c r="L7" s="6"/>
      <c r="M7" s="17"/>
      <c r="N7" s="6"/>
      <c r="P7" s="6"/>
      <c r="Q7" s="17"/>
      <c r="R7" s="6"/>
      <c r="W7" s="53"/>
      <c r="X7" s="6"/>
      <c r="Z7" s="1"/>
      <c r="AA7" s="1"/>
    </row>
    <row r="8" spans="1:27" s="4" customFormat="1" ht="12.75" customHeight="1">
      <c r="A8" s="1"/>
      <c r="B8" s="5"/>
      <c r="C8" s="41" t="s">
        <v>421</v>
      </c>
      <c r="D8" s="6"/>
      <c r="E8" s="6"/>
      <c r="F8" s="10"/>
      <c r="G8" s="17"/>
      <c r="H8" s="13"/>
      <c r="I8" s="16"/>
      <c r="J8" s="13"/>
      <c r="K8" s="17"/>
      <c r="L8" s="6"/>
      <c r="M8" s="17"/>
      <c r="N8" s="6"/>
      <c r="P8" s="6"/>
      <c r="Q8" s="17"/>
      <c r="R8" s="6"/>
      <c r="W8" s="53"/>
      <c r="X8" s="6"/>
      <c r="Z8" s="1"/>
      <c r="AA8" s="1"/>
    </row>
    <row r="9" spans="1:27" s="4" customFormat="1" ht="12.75" customHeight="1">
      <c r="A9" s="1"/>
      <c r="B9" s="5"/>
      <c r="C9" s="41"/>
      <c r="D9" s="6"/>
      <c r="E9" s="6"/>
      <c r="F9" s="10"/>
      <c r="G9" s="17"/>
      <c r="H9" s="13"/>
      <c r="I9" s="16"/>
      <c r="J9" s="13"/>
      <c r="K9" s="17"/>
      <c r="L9" s="6"/>
      <c r="M9" s="17"/>
      <c r="N9" s="6"/>
      <c r="P9" s="6"/>
      <c r="Q9" s="17"/>
      <c r="R9" s="6"/>
      <c r="W9" s="53"/>
      <c r="X9" s="6"/>
      <c r="Z9" s="1"/>
      <c r="AA9" s="1"/>
    </row>
    <row r="10" spans="1:27" s="4" customFormat="1" ht="12.75" customHeight="1">
      <c r="A10" s="1"/>
      <c r="B10" s="5"/>
      <c r="C10" s="247" t="s">
        <v>34</v>
      </c>
      <c r="D10" s="47" t="s">
        <v>82</v>
      </c>
      <c r="G10" s="65"/>
      <c r="I10" s="16"/>
      <c r="J10" s="13"/>
      <c r="K10" s="17"/>
      <c r="L10" s="6"/>
      <c r="M10" s="17"/>
      <c r="N10" s="6"/>
      <c r="P10" s="6"/>
      <c r="Q10" s="17"/>
      <c r="R10" s="6"/>
      <c r="W10" s="53"/>
      <c r="X10" s="6"/>
      <c r="Z10" s="1"/>
      <c r="AA10" s="1"/>
    </row>
    <row r="11" spans="1:27" s="4" customFormat="1" ht="12.75" customHeight="1">
      <c r="A11" s="1"/>
      <c r="B11" s="5"/>
      <c r="C11" s="233" t="s">
        <v>182</v>
      </c>
      <c r="D11" s="8">
        <f>L76</f>
        <v>206169.6</v>
      </c>
      <c r="E11" s="41" t="str">
        <f>IF(ISERROR("Usage of "&amp;FIXED(H76,0,0)&amp;" on-demand instance hours at an average price of $"&amp;FIXED(L76/H76,2,0)&amp;" per hour"),"No user inputs.","Usage of "&amp;FIXED(H76,0,0)&amp;" on-demand instance hours at an average price of $"&amp;FIXED(L76/H76,2,0)&amp;" per hour")</f>
        <v>Usage of 2,577,120 on-demand instance hours at an average price of $0.08 per hour</v>
      </c>
      <c r="G11" s="7"/>
      <c r="I11" s="16"/>
      <c r="J11" s="13"/>
      <c r="K11" s="17"/>
      <c r="L11" s="6"/>
      <c r="M11" s="17"/>
      <c r="N11" s="6"/>
      <c r="P11" s="6"/>
      <c r="Q11" s="17"/>
      <c r="R11" s="6"/>
      <c r="W11" s="53"/>
      <c r="X11" s="6"/>
      <c r="Z11" s="1"/>
      <c r="AA11" s="1"/>
    </row>
    <row r="12" spans="1:27" s="4" customFormat="1" ht="12.75" customHeight="1">
      <c r="A12" s="1"/>
      <c r="B12" s="5"/>
      <c r="C12" s="233" t="s">
        <v>181</v>
      </c>
      <c r="D12" s="248">
        <f>$D$252+$D$261</f>
        <v>8494.56</v>
      </c>
      <c r="E12" s="41" t="str">
        <f>IF(ISERROR("Monthly upload of "&amp;FIXED(D256,0,0)&amp;" GB, at $"&amp;FIXED(F256,2,0)&amp;" per GB; monthly download of "&amp;FIXED(D265,0,0)&amp;" GB, at average price of $"&amp;FIXED(H273/D273,2,0)&amp;" per GB"),"No user inputs.","Monthly upload of "&amp;FIXED(D256,0,0)&amp;" GB, at $"&amp;FIXED(F256,2,0)&amp;" per GB; monthly download of "&amp;FIXED(D265,0,0)&amp;" GB, at average price of $"&amp;FIXED(H273/D273,2,0)&amp;" per GB")</f>
        <v>Monthly upload of 2,950 GB, at $0.00 per GB; monthly download of 5,900 GB, at average price of $0.12 per GB</v>
      </c>
      <c r="G12" s="7"/>
      <c r="I12" s="16"/>
      <c r="J12" s="13"/>
      <c r="K12" s="17"/>
      <c r="L12" s="6"/>
      <c r="M12" s="17"/>
      <c r="N12" s="6"/>
      <c r="P12" s="6"/>
      <c r="Q12" s="17"/>
      <c r="R12" s="6"/>
      <c r="W12" s="53"/>
      <c r="X12" s="10"/>
      <c r="Z12" s="1"/>
      <c r="AA12" s="1"/>
    </row>
    <row r="13" spans="1:27" s="4" customFormat="1" ht="12.75" customHeight="1">
      <c r="A13" s="1"/>
      <c r="B13" s="5"/>
      <c r="D13" s="36">
        <f>SUM(D11:D12)</f>
        <v>214664.16</v>
      </c>
      <c r="E13" s="7"/>
      <c r="G13" s="7"/>
      <c r="I13" s="16"/>
      <c r="J13" s="13"/>
      <c r="K13" s="17"/>
      <c r="L13" s="6"/>
      <c r="M13" s="17"/>
      <c r="N13" s="6"/>
      <c r="P13" s="6"/>
      <c r="Q13" s="17"/>
      <c r="R13" s="6"/>
      <c r="W13" s="53"/>
      <c r="X13" s="6"/>
      <c r="Z13" s="1"/>
      <c r="AA13" s="1"/>
    </row>
    <row r="14" spans="1:27" s="4" customFormat="1" ht="12.75" customHeight="1">
      <c r="A14" s="1"/>
      <c r="B14" s="5"/>
      <c r="D14" s="36"/>
      <c r="E14" s="41"/>
      <c r="F14" s="36"/>
      <c r="G14" s="7"/>
      <c r="H14" s="36"/>
      <c r="I14" s="16"/>
      <c r="J14" s="13"/>
      <c r="K14" s="17"/>
      <c r="L14" s="6"/>
      <c r="M14" s="17"/>
      <c r="N14" s="6"/>
      <c r="P14" s="6"/>
      <c r="Q14" s="17"/>
      <c r="R14" s="6"/>
      <c r="W14" s="53"/>
      <c r="X14" s="6"/>
      <c r="Z14" s="1"/>
      <c r="AA14" s="1"/>
    </row>
    <row r="15" spans="1:27" s="4" customFormat="1" ht="12.75" customHeight="1">
      <c r="A15" s="1"/>
      <c r="B15" s="5"/>
      <c r="C15" s="247" t="s">
        <v>183</v>
      </c>
      <c r="D15" s="47" t="s">
        <v>82</v>
      </c>
      <c r="E15" s="11" t="s">
        <v>81</v>
      </c>
      <c r="G15" s="41"/>
      <c r="H15" s="36"/>
      <c r="I15" s="16"/>
      <c r="J15" s="13"/>
      <c r="K15" s="17"/>
      <c r="L15" s="6"/>
      <c r="M15" s="17"/>
      <c r="N15" s="6"/>
      <c r="P15" s="6"/>
      <c r="Q15" s="17"/>
      <c r="R15" s="6"/>
      <c r="W15" s="53"/>
      <c r="X15" s="6"/>
      <c r="Z15" s="1"/>
      <c r="AA15" s="1"/>
    </row>
    <row r="16" spans="1:27" s="4" customFormat="1" ht="12.75" customHeight="1">
      <c r="A16" s="1"/>
      <c r="B16" s="5"/>
      <c r="C16" s="233" t="s">
        <v>413</v>
      </c>
      <c r="D16" s="8">
        <f>D85</f>
        <v>95174.4</v>
      </c>
      <c r="E16" s="41" t="str">
        <f>IF(ISERROR("Usage of "&amp;FIXED(D193,0,0)&amp;" reserved instance hours ("&amp;FIXED(D167,0,0)&amp;" reserved instances) at an average price of $"&amp;FIXED(L220/D193,2,0)&amp;" per hour"),"No user inputs.","Usage of "&amp;FIXED(D193,0,0)&amp;" reserved instance hours ("&amp;FIXED(D167,0,0)&amp;" reserved instances) at an average price of $"&amp;FIXED(L220/D193,2,0)&amp;" per hour")</f>
        <v>Usage of 1,965,600 reserved instance hours (300 reserved instances) at an average price of $0.05 per hour</v>
      </c>
      <c r="F16" s="36"/>
      <c r="G16" s="7"/>
      <c r="H16" s="36"/>
      <c r="I16" s="16"/>
      <c r="J16" s="13"/>
      <c r="K16" s="17"/>
      <c r="L16" s="6"/>
      <c r="M16" s="17"/>
      <c r="N16" s="6"/>
      <c r="P16" s="6"/>
      <c r="Q16" s="17"/>
      <c r="R16" s="6"/>
      <c r="W16" s="53"/>
      <c r="X16" s="6"/>
      <c r="Z16" s="1"/>
      <c r="AA16" s="1"/>
    </row>
    <row r="17" spans="1:27" s="4" customFormat="1" ht="12.75" customHeight="1">
      <c r="A17" s="1"/>
      <c r="B17" s="5"/>
      <c r="C17" s="233" t="s">
        <v>411</v>
      </c>
      <c r="D17" s="8">
        <f>D86</f>
        <v>48921.6</v>
      </c>
      <c r="E17" s="41" t="str">
        <f>IF(ISERROR("Usage of "&amp;FIXED(D243,0,0)&amp;" on-demand instance hours ("&amp;FIXED(F53,0,0)&amp;" on-demand instances) at an average price of $"&amp;FIXED(H243/D243,2,0)&amp;" per hour"),"No user inputs.","Usage of "&amp;FIXED(D243,0,0)&amp;" on-demand instance hours ("&amp;FIXED(F53,0,0)&amp;" on-demand instances) at an average price of $"&amp;FIXED(H243/D243,2,0)&amp;" per hour")</f>
        <v>Usage of 611,520 on-demand instance hours (700 on-demand instances) at an average price of $0.08 per hour</v>
      </c>
      <c r="F17" s="36"/>
      <c r="G17" s="7"/>
      <c r="H17" s="36"/>
      <c r="I17" s="16"/>
      <c r="J17" s="13"/>
      <c r="K17" s="17"/>
      <c r="L17" s="6"/>
      <c r="M17" s="17"/>
      <c r="N17" s="6"/>
      <c r="P17" s="6"/>
      <c r="Q17" s="17"/>
      <c r="R17" s="6"/>
      <c r="W17" s="53"/>
      <c r="X17" s="6"/>
      <c r="Z17" s="1"/>
      <c r="AA17" s="1"/>
    </row>
    <row r="18" spans="1:27" s="4" customFormat="1" ht="12.75" customHeight="1">
      <c r="A18" s="1"/>
      <c r="B18" s="5"/>
      <c r="C18" s="233" t="s">
        <v>181</v>
      </c>
      <c r="D18" s="248">
        <f>$D$252+$D$261</f>
        <v>8494.56</v>
      </c>
      <c r="E18" s="41" t="str">
        <f>IF(ISERROR("Monthly upload of "&amp;FIXED(D256,0,0)&amp;" GB, at $"&amp;FIXED(F256,2,0)&amp;" per GB; monthly download of "&amp;FIXED(D265,0,0)&amp;" GB, at average price of $"&amp;FIXED(H273/D273,2,0)&amp;" per GB"),"No user inputs.","Monthly upload of "&amp;FIXED(D256,0,0)&amp;" GB, at $"&amp;FIXED(F256,2,0)&amp;" per GB; monthly download of "&amp;FIXED(D265,0,0)&amp;" GB, at average price of $"&amp;FIXED(H273/D273,2,0)&amp;" per GB")</f>
        <v>Monthly upload of 2,950 GB, at $0.00 per GB; monthly download of 5,900 GB, at average price of $0.12 per GB</v>
      </c>
      <c r="F18" s="36"/>
      <c r="G18" s="7"/>
      <c r="H18" s="36"/>
      <c r="I18" s="16"/>
      <c r="J18" s="13"/>
      <c r="K18" s="17"/>
      <c r="L18" s="6"/>
      <c r="M18" s="17"/>
      <c r="N18" s="6"/>
      <c r="P18" s="6"/>
      <c r="Q18" s="17"/>
      <c r="R18" s="6"/>
      <c r="W18" s="53"/>
      <c r="X18" s="6"/>
      <c r="Z18" s="1"/>
      <c r="AA18" s="1"/>
    </row>
    <row r="19" spans="1:27" s="4" customFormat="1" ht="12.75" customHeight="1">
      <c r="A19" s="1"/>
      <c r="B19" s="5"/>
      <c r="D19" s="36">
        <f>SUM(D16:D18)</f>
        <v>152590.56</v>
      </c>
      <c r="E19" s="7"/>
      <c r="F19" s="36"/>
      <c r="G19" s="7"/>
      <c r="H19" s="36"/>
      <c r="I19" s="16"/>
      <c r="J19" s="13"/>
      <c r="K19" s="17"/>
      <c r="L19" s="6"/>
      <c r="M19" s="17"/>
      <c r="N19" s="6"/>
      <c r="P19" s="6"/>
      <c r="Q19" s="17"/>
      <c r="R19" s="6"/>
      <c r="W19" s="53"/>
      <c r="X19" s="6"/>
      <c r="Z19" s="1"/>
      <c r="AA19" s="1"/>
    </row>
    <row r="20" spans="1:27" s="4" customFormat="1" ht="12.75" customHeight="1">
      <c r="A20" s="1"/>
      <c r="B20" s="5"/>
      <c r="D20" s="36"/>
      <c r="E20" s="7"/>
      <c r="F20" s="36"/>
      <c r="G20" s="7"/>
      <c r="H20" s="36"/>
      <c r="I20" s="16"/>
      <c r="J20" s="13"/>
      <c r="K20" s="17"/>
      <c r="L20" s="6"/>
      <c r="M20" s="17"/>
      <c r="N20" s="6"/>
      <c r="P20" s="6"/>
      <c r="Q20" s="17"/>
      <c r="R20" s="6"/>
      <c r="W20" s="53"/>
      <c r="X20" s="6"/>
      <c r="Z20" s="1"/>
      <c r="AA20" s="1"/>
    </row>
    <row r="21" spans="1:27" s="4" customFormat="1" ht="12.75" customHeight="1">
      <c r="A21" s="1"/>
      <c r="B21" s="5"/>
      <c r="C21" s="247" t="s">
        <v>184</v>
      </c>
      <c r="D21" s="47" t="s">
        <v>82</v>
      </c>
      <c r="E21" s="11" t="s">
        <v>81</v>
      </c>
      <c r="G21" s="41"/>
      <c r="H21" s="36"/>
      <c r="I21" s="16"/>
      <c r="J21" s="13"/>
      <c r="K21" s="17"/>
      <c r="L21" s="6"/>
      <c r="M21" s="17"/>
      <c r="N21" s="6"/>
      <c r="P21" s="6"/>
      <c r="Q21" s="17"/>
      <c r="R21" s="6"/>
      <c r="W21" s="53"/>
      <c r="X21" s="6"/>
      <c r="Z21" s="1"/>
      <c r="AA21" s="1"/>
    </row>
    <row r="22" spans="1:27" s="4" customFormat="1" ht="12.75" customHeight="1">
      <c r="A22" s="1"/>
      <c r="B22" s="5"/>
      <c r="C22" s="233" t="s">
        <v>415</v>
      </c>
      <c r="D22" s="8">
        <f>F85</f>
        <v>62346.4</v>
      </c>
      <c r="E22" s="41" t="str">
        <f>IF(ISERROR("Usage of "&amp;FIXED(D193,0,0)&amp;" reserved instance hours ("&amp;FIXED(D167,0,0)&amp;" reserved instances) at an average price of $"&amp;FIXED(L231/D193,2,0)&amp;" per hour"),"No user inputs.","Usage of "&amp;FIXED(D193,0,0)&amp;" reserved instance hours ("&amp;FIXED(D167,0,0)&amp;" reserved instances) at an average price of $"&amp;FIXED(L231/D193,2,0)&amp;" per hour")</f>
        <v>Usage of 1,965,600 reserved instance hours (300 reserved instances) at an average price of $0.03 per hour</v>
      </c>
      <c r="F22" s="36"/>
      <c r="G22" s="7"/>
      <c r="H22" s="36"/>
      <c r="I22" s="16"/>
      <c r="J22" s="13"/>
      <c r="K22" s="17"/>
      <c r="L22" s="6"/>
      <c r="M22" s="17"/>
      <c r="N22" s="6"/>
      <c r="P22" s="6"/>
      <c r="Q22" s="17"/>
      <c r="R22" s="6"/>
      <c r="W22" s="53"/>
      <c r="X22" s="6"/>
      <c r="Z22" s="1"/>
      <c r="AA22" s="1"/>
    </row>
    <row r="23" spans="1:27" s="4" customFormat="1" ht="12.75" customHeight="1">
      <c r="A23" s="1"/>
      <c r="B23" s="5"/>
      <c r="C23" s="233" t="s">
        <v>414</v>
      </c>
      <c r="D23" s="8">
        <f>F86</f>
        <v>48921.6</v>
      </c>
      <c r="E23" s="41" t="str">
        <f>IF(ISERROR("Usage of "&amp;FIXED(D243,0,0)&amp;" on-demand instance hours ("&amp;FIXED(F53,0,0)&amp;" on-demand instances) at an average price of $"&amp;FIXED(H243/D243,2,0)&amp;" per hour"),"No user inputs.","Usage of "&amp;FIXED(D243,0,0)&amp;" on-demand instance hours ("&amp;FIXED(F53,0,0)&amp;" on-demand instances) at an average price of $"&amp;FIXED(H243/D243,2,0)&amp;" per hour")</f>
        <v>Usage of 611,520 on-demand instance hours (700 on-demand instances) at an average price of $0.08 per hour</v>
      </c>
      <c r="F23" s="36"/>
      <c r="G23" s="7"/>
      <c r="H23" s="36"/>
      <c r="I23" s="16"/>
      <c r="J23" s="13"/>
      <c r="K23" s="17"/>
      <c r="L23" s="6"/>
      <c r="M23" s="17"/>
      <c r="N23" s="6"/>
      <c r="P23" s="6"/>
      <c r="Q23" s="17"/>
      <c r="R23" s="6"/>
      <c r="W23" s="53"/>
      <c r="X23" s="6"/>
      <c r="Z23" s="1"/>
      <c r="AA23" s="1"/>
    </row>
    <row r="24" spans="1:27" s="4" customFormat="1" ht="12.75" customHeight="1">
      <c r="A24" s="1"/>
      <c r="B24" s="5"/>
      <c r="C24" s="233" t="s">
        <v>259</v>
      </c>
      <c r="D24" s="248">
        <f>$D$252+$D$261</f>
        <v>8494.56</v>
      </c>
      <c r="E24" s="41" t="str">
        <f>IF(ISERROR("Monthly upload of "&amp;FIXED(D256,0,0)&amp;" GB, at $"&amp;FIXED(F256,2,0)&amp;" per GB; monthly download of "&amp;FIXED(D265,0,0)&amp;" GB, at average price of $"&amp;FIXED(H273/D273,2,0)&amp;" per GB"),"No user inputs.","Monthly upload of "&amp;FIXED(D256,0,0)&amp;" GB, at $"&amp;FIXED(F256,2,0)&amp;" per GB; monthly download of "&amp;FIXED(D265,0,0)&amp;" GB, at average price of $"&amp;FIXED(H273/D273,2,0)&amp;" per GB")</f>
        <v>Monthly upload of 2,950 GB, at $0.00 per GB; monthly download of 5,900 GB, at average price of $0.12 per GB</v>
      </c>
      <c r="F24" s="36"/>
      <c r="G24" s="7"/>
      <c r="H24" s="36"/>
      <c r="I24" s="16"/>
      <c r="J24" s="13"/>
      <c r="K24" s="17"/>
      <c r="L24" s="6"/>
      <c r="M24" s="17"/>
      <c r="N24" s="6"/>
      <c r="P24" s="6"/>
      <c r="Q24" s="17"/>
      <c r="R24" s="6"/>
      <c r="W24" s="53"/>
      <c r="X24" s="6"/>
      <c r="Z24" s="1"/>
      <c r="AA24" s="1"/>
    </row>
    <row r="25" spans="1:27" s="4" customFormat="1" ht="12.75" customHeight="1">
      <c r="A25" s="1"/>
      <c r="B25" s="5"/>
      <c r="D25" s="36">
        <f>SUM(D22:D24)</f>
        <v>119762.56</v>
      </c>
      <c r="E25" s="7"/>
      <c r="F25" s="36"/>
      <c r="G25" s="7"/>
      <c r="H25" s="36"/>
      <c r="I25" s="16"/>
      <c r="J25" s="13"/>
      <c r="K25" s="17"/>
      <c r="L25" s="6"/>
      <c r="M25" s="17"/>
      <c r="N25" s="6"/>
      <c r="P25" s="6"/>
      <c r="Q25" s="17"/>
      <c r="R25" s="6"/>
      <c r="W25" s="53"/>
      <c r="X25" s="6"/>
      <c r="Z25" s="1"/>
      <c r="AA25" s="1"/>
    </row>
    <row r="26" spans="1:27" s="4" customFormat="1" ht="12.75" customHeight="1">
      <c r="A26" s="1"/>
      <c r="B26" s="5"/>
      <c r="D26" s="36"/>
      <c r="E26" s="7"/>
      <c r="F26" s="36"/>
      <c r="G26" s="7"/>
      <c r="H26" s="36"/>
      <c r="I26" s="16"/>
      <c r="J26" s="13"/>
      <c r="K26" s="17"/>
      <c r="L26" s="6"/>
      <c r="M26" s="17"/>
      <c r="N26" s="6"/>
      <c r="P26" s="6"/>
      <c r="Q26" s="17"/>
      <c r="R26" s="6"/>
      <c r="W26" s="53"/>
      <c r="X26" s="6"/>
      <c r="Z26" s="1"/>
      <c r="AA26" s="1"/>
    </row>
    <row r="27" spans="1:27" s="4" customFormat="1" ht="12.75" customHeight="1">
      <c r="A27" s="1"/>
      <c r="B27" s="5"/>
      <c r="D27" s="36"/>
      <c r="E27" s="452" t="s">
        <v>422</v>
      </c>
      <c r="F27" s="453"/>
      <c r="G27" s="453"/>
      <c r="H27" s="453"/>
      <c r="I27" s="453"/>
      <c r="J27" s="453"/>
      <c r="K27" s="453"/>
      <c r="L27" s="453"/>
      <c r="M27" s="453"/>
      <c r="N27" s="453"/>
      <c r="O27" s="453"/>
      <c r="P27" s="453"/>
      <c r="Q27" s="453"/>
      <c r="R27" s="453"/>
      <c r="S27" s="453"/>
      <c r="T27" s="453"/>
      <c r="U27" s="453"/>
      <c r="V27" s="453"/>
      <c r="W27" s="53"/>
      <c r="X27" s="6"/>
      <c r="Z27" s="1"/>
      <c r="AA27" s="1"/>
    </row>
    <row r="28" spans="2:24" s="4" customFormat="1" ht="24.75" customHeight="1">
      <c r="B28" s="5"/>
      <c r="D28" s="36"/>
      <c r="E28" s="440" t="s">
        <v>423</v>
      </c>
      <c r="F28" s="440"/>
      <c r="G28" s="440"/>
      <c r="H28" s="440"/>
      <c r="I28" s="440"/>
      <c r="J28" s="440"/>
      <c r="K28" s="440"/>
      <c r="L28" s="440"/>
      <c r="M28" s="440"/>
      <c r="N28" s="440"/>
      <c r="O28" s="440"/>
      <c r="P28" s="440"/>
      <c r="Q28" s="440"/>
      <c r="R28" s="440"/>
      <c r="S28" s="440"/>
      <c r="T28" s="440"/>
      <c r="U28" s="440"/>
      <c r="V28" s="440"/>
      <c r="W28" s="53"/>
      <c r="X28" s="6"/>
    </row>
    <row r="29" spans="1:27" s="4" customFormat="1" ht="12.75" customHeight="1">
      <c r="A29" s="1"/>
      <c r="B29" s="5"/>
      <c r="D29" s="36"/>
      <c r="E29" s="176" t="s">
        <v>151</v>
      </c>
      <c r="F29" s="36"/>
      <c r="G29" s="7"/>
      <c r="H29" s="36"/>
      <c r="I29" s="16"/>
      <c r="J29" s="13"/>
      <c r="K29" s="17"/>
      <c r="L29" s="6"/>
      <c r="M29" s="17"/>
      <c r="N29" s="6"/>
      <c r="P29" s="6"/>
      <c r="Q29" s="17"/>
      <c r="R29" s="6"/>
      <c r="W29" s="53"/>
      <c r="X29" s="6"/>
      <c r="Z29" s="1"/>
      <c r="AA29" s="1"/>
    </row>
    <row r="30" spans="1:27" s="4" customFormat="1" ht="12.75" customHeight="1">
      <c r="A30" s="1"/>
      <c r="B30" s="5"/>
      <c r="D30" s="36"/>
      <c r="F30" s="36"/>
      <c r="G30" s="7"/>
      <c r="H30" s="36"/>
      <c r="I30" s="16"/>
      <c r="J30" s="13"/>
      <c r="K30" s="17"/>
      <c r="L30" s="6"/>
      <c r="M30" s="17"/>
      <c r="N30" s="6"/>
      <c r="P30" s="6"/>
      <c r="Q30" s="17"/>
      <c r="R30" s="6"/>
      <c r="W30" s="53"/>
      <c r="X30" s="6"/>
      <c r="Z30" s="1"/>
      <c r="AA30" s="1"/>
    </row>
    <row r="31" spans="1:27" s="4" customFormat="1" ht="15.75">
      <c r="A31" s="1"/>
      <c r="B31" s="5"/>
      <c r="C31" s="104" t="s">
        <v>100</v>
      </c>
      <c r="D31" s="37"/>
      <c r="E31" s="38"/>
      <c r="F31" s="37"/>
      <c r="G31" s="38"/>
      <c r="H31" s="37"/>
      <c r="I31" s="38"/>
      <c r="J31" s="37"/>
      <c r="K31" s="38"/>
      <c r="L31" s="37"/>
      <c r="M31" s="39"/>
      <c r="N31" s="39"/>
      <c r="O31" s="39"/>
      <c r="P31" s="37"/>
      <c r="Q31" s="39"/>
      <c r="R31" s="39"/>
      <c r="S31" s="39"/>
      <c r="T31" s="39"/>
      <c r="U31" s="39"/>
      <c r="V31" s="38"/>
      <c r="W31" s="246"/>
      <c r="X31" s="6"/>
      <c r="Z31" s="1"/>
      <c r="AA31" s="1"/>
    </row>
    <row r="32" spans="1:27" s="4" customFormat="1" ht="12.75" customHeight="1">
      <c r="A32" s="1"/>
      <c r="B32" s="5"/>
      <c r="D32" s="6"/>
      <c r="E32" s="6"/>
      <c r="F32" s="10"/>
      <c r="G32" s="17"/>
      <c r="H32" s="13"/>
      <c r="I32" s="16"/>
      <c r="J32" s="10"/>
      <c r="K32" s="16"/>
      <c r="L32" s="6"/>
      <c r="M32" s="17"/>
      <c r="N32" s="6"/>
      <c r="O32" s="17"/>
      <c r="P32" s="6"/>
      <c r="Q32" s="17"/>
      <c r="R32" s="6"/>
      <c r="S32" s="17"/>
      <c r="T32" s="17"/>
      <c r="U32" s="17"/>
      <c r="V32" s="6"/>
      <c r="W32" s="53"/>
      <c r="X32" s="6"/>
      <c r="Z32" s="1"/>
      <c r="AA32" s="1"/>
    </row>
    <row r="33" spans="1:27" s="4" customFormat="1" ht="12.75" customHeight="1">
      <c r="A33" s="1"/>
      <c r="B33" s="5"/>
      <c r="D33" s="6"/>
      <c r="E33" s="6"/>
      <c r="F33" s="10"/>
      <c r="G33" s="17"/>
      <c r="H33" s="13"/>
      <c r="I33" s="16"/>
      <c r="J33" s="10"/>
      <c r="K33" s="16"/>
      <c r="L33" s="6"/>
      <c r="M33" s="17"/>
      <c r="N33" s="217" t="s">
        <v>256</v>
      </c>
      <c r="O33" s="236" t="s">
        <v>257</v>
      </c>
      <c r="P33" s="6"/>
      <c r="Q33" s="17"/>
      <c r="R33" s="376"/>
      <c r="S33" s="236"/>
      <c r="T33" s="236"/>
      <c r="U33" s="236"/>
      <c r="V33" s="175"/>
      <c r="W33" s="53"/>
      <c r="X33" s="6"/>
      <c r="Z33" s="1"/>
      <c r="AA33" s="1"/>
    </row>
    <row r="34" spans="1:27" s="4" customFormat="1" ht="12.75" customHeight="1" thickBot="1">
      <c r="A34" s="1"/>
      <c r="B34" s="5"/>
      <c r="C34" s="123" t="s">
        <v>152</v>
      </c>
      <c r="D34" s="71"/>
      <c r="E34" s="71"/>
      <c r="F34" s="72"/>
      <c r="G34" s="73"/>
      <c r="H34" s="74"/>
      <c r="I34" s="33"/>
      <c r="J34" s="72"/>
      <c r="K34" s="33"/>
      <c r="L34" s="71"/>
      <c r="M34" s="73"/>
      <c r="N34" s="71"/>
      <c r="O34" s="73"/>
      <c r="P34" s="71"/>
      <c r="Q34" s="73"/>
      <c r="R34" s="71"/>
      <c r="S34" s="73"/>
      <c r="T34" s="73"/>
      <c r="U34" s="73"/>
      <c r="V34" s="71"/>
      <c r="W34" s="75"/>
      <c r="X34" s="6"/>
      <c r="Z34" s="1"/>
      <c r="AA34" s="1"/>
    </row>
    <row r="35" spans="1:27" s="4" customFormat="1" ht="12.75" customHeight="1">
      <c r="A35" s="1"/>
      <c r="B35" s="5"/>
      <c r="D35" s="6"/>
      <c r="E35" s="6"/>
      <c r="F35" s="10"/>
      <c r="G35" s="17"/>
      <c r="H35" s="13"/>
      <c r="I35" s="16"/>
      <c r="J35" s="10"/>
      <c r="K35" s="16"/>
      <c r="L35" s="6"/>
      <c r="M35" s="17"/>
      <c r="N35" s="6"/>
      <c r="O35" s="17"/>
      <c r="P35" s="6"/>
      <c r="Q35" s="17"/>
      <c r="R35" s="6"/>
      <c r="S35" s="17"/>
      <c r="T35" s="17"/>
      <c r="U35" s="17"/>
      <c r="V35" s="6"/>
      <c r="W35" s="53"/>
      <c r="X35" s="6"/>
      <c r="Z35" s="1"/>
      <c r="AA35" s="1"/>
    </row>
    <row r="36" spans="1:27" s="4" customFormat="1" ht="12.75" customHeight="1">
      <c r="A36" s="1"/>
      <c r="B36" s="5"/>
      <c r="C36" s="249" t="s">
        <v>158</v>
      </c>
      <c r="D36" s="6"/>
      <c r="E36" s="6"/>
      <c r="F36" s="10"/>
      <c r="G36" s="17"/>
      <c r="H36" s="13"/>
      <c r="I36" s="16"/>
      <c r="J36" s="10"/>
      <c r="K36" s="16"/>
      <c r="L36" s="6"/>
      <c r="M36" s="17"/>
      <c r="N36" s="6"/>
      <c r="O36" s="17"/>
      <c r="P36" s="6"/>
      <c r="Q36" s="17"/>
      <c r="R36" s="6"/>
      <c r="S36" s="17"/>
      <c r="T36" s="17"/>
      <c r="U36" s="17"/>
      <c r="V36" s="6"/>
      <c r="W36" s="53"/>
      <c r="X36" s="6"/>
      <c r="Z36" s="1"/>
      <c r="AA36" s="1"/>
    </row>
    <row r="37" spans="1:27" s="4" customFormat="1" ht="12.75" customHeight="1">
      <c r="A37" s="1"/>
      <c r="B37" s="5"/>
      <c r="D37" s="6"/>
      <c r="E37" s="6"/>
      <c r="F37" s="10"/>
      <c r="G37" s="17"/>
      <c r="H37" s="13"/>
      <c r="I37" s="16"/>
      <c r="J37" s="10"/>
      <c r="K37" s="16"/>
      <c r="L37" s="6"/>
      <c r="M37" s="17"/>
      <c r="N37" s="6"/>
      <c r="O37" s="17"/>
      <c r="P37" s="6"/>
      <c r="Q37" s="17"/>
      <c r="R37" s="6"/>
      <c r="S37" s="17"/>
      <c r="T37" s="17"/>
      <c r="U37" s="17"/>
      <c r="V37" s="6"/>
      <c r="W37" s="53"/>
      <c r="X37" s="6"/>
      <c r="Z37" s="1"/>
      <c r="AA37" s="1"/>
    </row>
    <row r="38" spans="1:27" s="4" customFormat="1" ht="12.75" customHeight="1">
      <c r="A38" s="1"/>
      <c r="B38" s="5"/>
      <c r="C38" s="11" t="s">
        <v>201</v>
      </c>
      <c r="D38" s="35">
        <f>L76</f>
        <v>206169.6</v>
      </c>
      <c r="E38" s="250" t="s">
        <v>234</v>
      </c>
      <c r="F38" s="10"/>
      <c r="G38" s="17"/>
      <c r="H38" s="13"/>
      <c r="I38" s="16"/>
      <c r="J38" s="10"/>
      <c r="K38" s="16"/>
      <c r="L38" s="6"/>
      <c r="M38" s="17"/>
      <c r="N38" s="6"/>
      <c r="O38" s="17"/>
      <c r="P38" s="6"/>
      <c r="Q38" s="17"/>
      <c r="R38" s="6"/>
      <c r="S38" s="17"/>
      <c r="T38" s="17"/>
      <c r="U38" s="17"/>
      <c r="V38" s="6"/>
      <c r="W38" s="53"/>
      <c r="X38" s="6"/>
      <c r="Z38" s="1"/>
      <c r="AA38" s="1"/>
    </row>
    <row r="39" spans="1:27" s="4" customFormat="1" ht="12.75" customHeight="1">
      <c r="A39" s="1"/>
      <c r="B39" s="5"/>
      <c r="C39" s="251"/>
      <c r="D39" s="6"/>
      <c r="E39" s="6"/>
      <c r="F39" s="10"/>
      <c r="G39" s="17"/>
      <c r="H39" s="13"/>
      <c r="I39" s="16"/>
      <c r="J39" s="10"/>
      <c r="K39" s="16"/>
      <c r="L39" s="6"/>
      <c r="M39" s="17"/>
      <c r="N39" s="6"/>
      <c r="O39" s="17"/>
      <c r="P39" s="6"/>
      <c r="Q39" s="17"/>
      <c r="R39" s="6"/>
      <c r="S39" s="17"/>
      <c r="T39" s="17"/>
      <c r="U39" s="17"/>
      <c r="V39" s="6"/>
      <c r="W39" s="53"/>
      <c r="X39" s="6"/>
      <c r="Z39" s="1"/>
      <c r="AA39" s="1"/>
    </row>
    <row r="40" spans="1:27" s="4" customFormat="1" ht="12.75" customHeight="1">
      <c r="A40" s="1"/>
      <c r="B40" s="5"/>
      <c r="C40" s="111"/>
      <c r="D40" s="252"/>
      <c r="E40" s="112"/>
      <c r="F40" s="116"/>
      <c r="G40" s="113"/>
      <c r="H40" s="114"/>
      <c r="I40" s="115"/>
      <c r="J40" s="116"/>
      <c r="K40" s="115"/>
      <c r="L40" s="112"/>
      <c r="M40" s="113"/>
      <c r="N40" s="112"/>
      <c r="O40" s="113"/>
      <c r="P40" s="112"/>
      <c r="Q40" s="113"/>
      <c r="R40" s="112"/>
      <c r="S40" s="113"/>
      <c r="T40" s="113"/>
      <c r="U40" s="113"/>
      <c r="V40" s="117"/>
      <c r="W40" s="53"/>
      <c r="X40" s="6"/>
      <c r="Z40" s="1"/>
      <c r="AA40" s="1"/>
    </row>
    <row r="41" spans="1:27" s="4" customFormat="1" ht="12.75" customHeight="1">
      <c r="A41" s="1"/>
      <c r="B41" s="5"/>
      <c r="C41" s="253" t="s">
        <v>47</v>
      </c>
      <c r="D41" s="175"/>
      <c r="E41" s="254"/>
      <c r="F41" s="175"/>
      <c r="G41" s="255"/>
      <c r="H41" s="256"/>
      <c r="I41" s="255"/>
      <c r="J41" s="257"/>
      <c r="K41" s="255"/>
      <c r="L41" s="254"/>
      <c r="M41" s="255"/>
      <c r="N41" s="254"/>
      <c r="O41" s="255"/>
      <c r="P41" s="254"/>
      <c r="Q41" s="255"/>
      <c r="R41" s="254"/>
      <c r="S41" s="255"/>
      <c r="T41" s="255"/>
      <c r="U41" s="255"/>
      <c r="V41" s="258"/>
      <c r="W41" s="259"/>
      <c r="X41" s="6"/>
      <c r="Z41" s="1"/>
      <c r="AA41" s="1"/>
    </row>
    <row r="42" spans="1:27" s="4" customFormat="1" ht="24" customHeight="1">
      <c r="A42" s="1"/>
      <c r="B42" s="5"/>
      <c r="C42" s="456" t="s">
        <v>157</v>
      </c>
      <c r="D42" s="457"/>
      <c r="E42" s="457"/>
      <c r="F42" s="457"/>
      <c r="G42" s="457"/>
      <c r="H42" s="457"/>
      <c r="I42" s="457"/>
      <c r="J42" s="457"/>
      <c r="K42" s="457"/>
      <c r="L42" s="457"/>
      <c r="M42" s="457"/>
      <c r="N42" s="457"/>
      <c r="O42" s="457"/>
      <c r="P42" s="457"/>
      <c r="Q42" s="457"/>
      <c r="R42" s="457"/>
      <c r="S42" s="457"/>
      <c r="T42" s="457"/>
      <c r="U42" s="457"/>
      <c r="V42" s="458"/>
      <c r="W42" s="260"/>
      <c r="X42" s="6"/>
      <c r="Z42" s="1"/>
      <c r="AA42" s="1"/>
    </row>
    <row r="43" spans="1:27" s="4" customFormat="1" ht="12.75">
      <c r="A43" s="1"/>
      <c r="B43" s="5"/>
      <c r="C43" s="261"/>
      <c r="D43" s="144"/>
      <c r="E43" s="144"/>
      <c r="F43" s="144"/>
      <c r="G43" s="144"/>
      <c r="H43" s="144"/>
      <c r="I43" s="144"/>
      <c r="J43" s="144"/>
      <c r="K43" s="144"/>
      <c r="L43" s="144"/>
      <c r="M43" s="144"/>
      <c r="N43" s="144"/>
      <c r="O43" s="144"/>
      <c r="P43" s="419"/>
      <c r="Q43" s="419"/>
      <c r="R43" s="419"/>
      <c r="S43" s="419"/>
      <c r="T43" s="413"/>
      <c r="U43" s="413"/>
      <c r="V43" s="262"/>
      <c r="W43" s="263"/>
      <c r="X43" s="6"/>
      <c r="Z43" s="1"/>
      <c r="AA43" s="1"/>
    </row>
    <row r="44" spans="1:27" s="4" customFormat="1" ht="51">
      <c r="A44" s="1"/>
      <c r="B44" s="5"/>
      <c r="C44" s="159"/>
      <c r="D44" s="194" t="s">
        <v>355</v>
      </c>
      <c r="E44" s="264" t="s">
        <v>13</v>
      </c>
      <c r="F44" s="194" t="s">
        <v>202</v>
      </c>
      <c r="G44" s="4" t="s">
        <v>29</v>
      </c>
      <c r="H44" s="265" t="s">
        <v>49</v>
      </c>
      <c r="I44" s="144"/>
      <c r="J44" s="144"/>
      <c r="K44" s="144"/>
      <c r="L44" s="190" t="s">
        <v>356</v>
      </c>
      <c r="M44" s="144"/>
      <c r="N44" s="190" t="s">
        <v>285</v>
      </c>
      <c r="O44" s="144"/>
      <c r="P44" s="420"/>
      <c r="Q44" s="419"/>
      <c r="R44" s="420"/>
      <c r="S44" s="419"/>
      <c r="T44" s="413"/>
      <c r="U44" s="413"/>
      <c r="V44" s="262"/>
      <c r="W44" s="263"/>
      <c r="X44" s="6"/>
      <c r="Z44" s="1"/>
      <c r="AA44" s="1"/>
    </row>
    <row r="45" spans="1:27" s="4" customFormat="1" ht="12.75">
      <c r="A45" s="1"/>
      <c r="B45" s="5"/>
      <c r="C45" s="182" t="s">
        <v>336</v>
      </c>
      <c r="D45" s="16">
        <f>Main!D29</f>
        <v>300</v>
      </c>
      <c r="E45" s="6"/>
      <c r="F45" s="6">
        <f>Main!D39</f>
        <v>700</v>
      </c>
      <c r="G45" s="17"/>
      <c r="H45" s="6">
        <f aca="true" t="shared" si="0" ref="H45:H52">D45+F45</f>
        <v>1000</v>
      </c>
      <c r="I45" s="144"/>
      <c r="J45" s="144"/>
      <c r="K45" s="144"/>
      <c r="L45" s="10">
        <f>Main!F29</f>
        <v>0.75</v>
      </c>
      <c r="M45" s="144"/>
      <c r="N45" s="10">
        <f>Main!F39</f>
        <v>0.1</v>
      </c>
      <c r="O45" s="144"/>
      <c r="P45" s="10"/>
      <c r="Q45" s="419"/>
      <c r="R45" s="10"/>
      <c r="S45" s="419"/>
      <c r="T45" s="413"/>
      <c r="U45" s="413"/>
      <c r="V45" s="262"/>
      <c r="W45" s="263"/>
      <c r="X45" s="6"/>
      <c r="Z45" s="1"/>
      <c r="AA45" s="1"/>
    </row>
    <row r="46" spans="1:27" s="4" customFormat="1" ht="12.75">
      <c r="A46" s="1"/>
      <c r="B46" s="5"/>
      <c r="C46" s="182" t="s">
        <v>337</v>
      </c>
      <c r="D46" s="16">
        <f>Main!D30</f>
        <v>0</v>
      </c>
      <c r="E46" s="6"/>
      <c r="F46" s="6">
        <f>Main!D40</f>
        <v>0</v>
      </c>
      <c r="G46" s="17"/>
      <c r="H46" s="6">
        <f t="shared" si="0"/>
        <v>0</v>
      </c>
      <c r="I46" s="144"/>
      <c r="J46" s="144"/>
      <c r="K46" s="144"/>
      <c r="L46" s="10">
        <f>Main!F30</f>
        <v>0.75</v>
      </c>
      <c r="M46" s="144"/>
      <c r="N46" s="10">
        <f>Main!F40</f>
        <v>0.1</v>
      </c>
      <c r="O46" s="144"/>
      <c r="P46" s="10"/>
      <c r="Q46" s="419"/>
      <c r="R46" s="10"/>
      <c r="S46" s="419"/>
      <c r="T46" s="413"/>
      <c r="U46" s="413"/>
      <c r="V46" s="262"/>
      <c r="W46" s="263"/>
      <c r="X46" s="6"/>
      <c r="Z46" s="1"/>
      <c r="AA46" s="1"/>
    </row>
    <row r="47" spans="1:27" s="4" customFormat="1" ht="12.75">
      <c r="A47" s="1"/>
      <c r="B47" s="5"/>
      <c r="C47" s="182" t="s">
        <v>338</v>
      </c>
      <c r="D47" s="16">
        <f>Main!D31</f>
        <v>0</v>
      </c>
      <c r="E47" s="6"/>
      <c r="F47" s="6">
        <f>Main!D41</f>
        <v>0</v>
      </c>
      <c r="G47" s="17"/>
      <c r="H47" s="6">
        <f t="shared" si="0"/>
        <v>0</v>
      </c>
      <c r="I47" s="144"/>
      <c r="J47" s="144"/>
      <c r="K47" s="144"/>
      <c r="L47" s="10">
        <f>Main!F31</f>
        <v>0.75</v>
      </c>
      <c r="M47" s="144"/>
      <c r="N47" s="10">
        <f>Main!F41</f>
        <v>0.1</v>
      </c>
      <c r="O47" s="144"/>
      <c r="P47" s="10"/>
      <c r="Q47" s="419"/>
      <c r="R47" s="10"/>
      <c r="S47" s="419"/>
      <c r="T47" s="413"/>
      <c r="U47" s="413"/>
      <c r="V47" s="262"/>
      <c r="W47" s="263"/>
      <c r="X47" s="6"/>
      <c r="Z47" s="1"/>
      <c r="AA47" s="1"/>
    </row>
    <row r="48" spans="1:27" s="4" customFormat="1" ht="12.75">
      <c r="A48" s="1"/>
      <c r="B48" s="5"/>
      <c r="C48" s="182" t="s">
        <v>377</v>
      </c>
      <c r="D48" s="16">
        <f>Main!D32</f>
        <v>0</v>
      </c>
      <c r="E48" s="6"/>
      <c r="F48" s="6">
        <f>Main!D42</f>
        <v>0</v>
      </c>
      <c r="G48" s="17"/>
      <c r="H48" s="6">
        <f>D48+F48</f>
        <v>0</v>
      </c>
      <c r="I48" s="406"/>
      <c r="J48" s="406"/>
      <c r="K48" s="406"/>
      <c r="L48" s="10">
        <f>Main!F32</f>
        <v>0.75</v>
      </c>
      <c r="M48" s="406"/>
      <c r="N48" s="10">
        <f>Main!F42</f>
        <v>0.1</v>
      </c>
      <c r="O48" s="406"/>
      <c r="P48" s="10"/>
      <c r="Q48" s="419"/>
      <c r="R48" s="10"/>
      <c r="S48" s="419"/>
      <c r="T48" s="413"/>
      <c r="U48" s="413"/>
      <c r="V48" s="262"/>
      <c r="W48" s="263"/>
      <c r="X48" s="6"/>
      <c r="Z48" s="1"/>
      <c r="AA48" s="1"/>
    </row>
    <row r="49" spans="1:27" s="4" customFormat="1" ht="12.75">
      <c r="A49" s="1"/>
      <c r="B49" s="5"/>
      <c r="C49" s="182" t="s">
        <v>334</v>
      </c>
      <c r="D49" s="16">
        <f>Main!D33</f>
        <v>0</v>
      </c>
      <c r="E49" s="6"/>
      <c r="F49" s="6">
        <f>Main!D43</f>
        <v>0</v>
      </c>
      <c r="G49" s="17"/>
      <c r="H49" s="6">
        <f t="shared" si="0"/>
        <v>0</v>
      </c>
      <c r="I49" s="381"/>
      <c r="J49" s="381"/>
      <c r="K49" s="381"/>
      <c r="L49" s="10">
        <f>Main!F33</f>
        <v>0.75</v>
      </c>
      <c r="M49" s="381"/>
      <c r="N49" s="10">
        <f>Main!F43</f>
        <v>0.1</v>
      </c>
      <c r="O49" s="381"/>
      <c r="P49" s="10"/>
      <c r="Q49" s="419"/>
      <c r="R49" s="10"/>
      <c r="S49" s="419"/>
      <c r="T49" s="413"/>
      <c r="U49" s="413"/>
      <c r="V49" s="262"/>
      <c r="W49" s="263"/>
      <c r="X49" s="6"/>
      <c r="Z49" s="1"/>
      <c r="AA49" s="1"/>
    </row>
    <row r="50" spans="1:27" s="4" customFormat="1" ht="12.75">
      <c r="A50" s="1"/>
      <c r="B50" s="5"/>
      <c r="C50" s="182" t="s">
        <v>335</v>
      </c>
      <c r="D50" s="16">
        <f>Main!D34</f>
        <v>0</v>
      </c>
      <c r="E50" s="6"/>
      <c r="F50" s="6">
        <f>Main!D44</f>
        <v>0</v>
      </c>
      <c r="G50" s="17"/>
      <c r="H50" s="6">
        <f t="shared" si="0"/>
        <v>0</v>
      </c>
      <c r="I50" s="381"/>
      <c r="J50" s="381"/>
      <c r="K50" s="381"/>
      <c r="L50" s="10">
        <f>Main!F34</f>
        <v>0.75</v>
      </c>
      <c r="M50" s="381"/>
      <c r="N50" s="10">
        <f>Main!F44</f>
        <v>0.1</v>
      </c>
      <c r="O50" s="381"/>
      <c r="P50" s="10"/>
      <c r="Q50" s="419"/>
      <c r="R50" s="10"/>
      <c r="S50" s="419"/>
      <c r="T50" s="413"/>
      <c r="U50" s="413"/>
      <c r="V50" s="262"/>
      <c r="W50" s="263"/>
      <c r="X50" s="6"/>
      <c r="Z50" s="1"/>
      <c r="AA50" s="1"/>
    </row>
    <row r="51" spans="1:27" s="4" customFormat="1" ht="12.75">
      <c r="A51" s="1"/>
      <c r="B51" s="5"/>
      <c r="C51" s="182" t="s">
        <v>339</v>
      </c>
      <c r="D51" s="16">
        <f>Main!D35</f>
        <v>0</v>
      </c>
      <c r="E51" s="6"/>
      <c r="F51" s="6">
        <f>Main!D45</f>
        <v>0</v>
      </c>
      <c r="G51" s="17"/>
      <c r="H51" s="6">
        <f t="shared" si="0"/>
        <v>0</v>
      </c>
      <c r="I51" s="144"/>
      <c r="J51" s="144"/>
      <c r="K51" s="144"/>
      <c r="L51" s="10">
        <f>Main!F35</f>
        <v>0.75</v>
      </c>
      <c r="M51" s="144"/>
      <c r="N51" s="10">
        <f>Main!F45</f>
        <v>0.1</v>
      </c>
      <c r="O51" s="144"/>
      <c r="P51" s="10"/>
      <c r="Q51" s="419"/>
      <c r="R51" s="10"/>
      <c r="S51" s="419"/>
      <c r="T51" s="413"/>
      <c r="U51" s="413"/>
      <c r="V51" s="262"/>
      <c r="W51" s="263"/>
      <c r="X51" s="6"/>
      <c r="Z51" s="1"/>
      <c r="AA51" s="1"/>
    </row>
    <row r="52" spans="1:27" s="4" customFormat="1" ht="12.75">
      <c r="A52" s="1"/>
      <c r="B52" s="5"/>
      <c r="C52" s="182" t="s">
        <v>340</v>
      </c>
      <c r="D52" s="99">
        <f>Main!D36</f>
        <v>0</v>
      </c>
      <c r="E52" s="6"/>
      <c r="F52" s="44">
        <f>Main!D46</f>
        <v>0</v>
      </c>
      <c r="G52" s="17"/>
      <c r="H52" s="44">
        <f t="shared" si="0"/>
        <v>0</v>
      </c>
      <c r="I52" s="144"/>
      <c r="J52" s="144"/>
      <c r="K52" s="144"/>
      <c r="L52" s="10">
        <f>Main!F36</f>
        <v>0.75</v>
      </c>
      <c r="M52" s="144"/>
      <c r="N52" s="10">
        <f>Main!F46</f>
        <v>0.1</v>
      </c>
      <c r="O52" s="144"/>
      <c r="P52" s="10"/>
      <c r="Q52" s="419"/>
      <c r="R52" s="10"/>
      <c r="S52" s="419"/>
      <c r="T52" s="413"/>
      <c r="U52" s="413"/>
      <c r="V52" s="262"/>
      <c r="W52" s="263"/>
      <c r="X52" s="6"/>
      <c r="Z52" s="1"/>
      <c r="AA52" s="1"/>
    </row>
    <row r="53" spans="1:27" s="4" customFormat="1" ht="12.75">
      <c r="A53" s="1"/>
      <c r="B53" s="5"/>
      <c r="C53" s="182"/>
      <c r="D53" s="16">
        <f>SUM(D45:D52)</f>
        <v>300</v>
      </c>
      <c r="E53" s="6"/>
      <c r="F53" s="16">
        <f>SUM(F45:F52)</f>
        <v>700</v>
      </c>
      <c r="G53" s="17"/>
      <c r="H53" s="16">
        <f>SUM(H45:H52)</f>
        <v>1000</v>
      </c>
      <c r="I53" s="388"/>
      <c r="J53" s="388"/>
      <c r="K53" s="388"/>
      <c r="L53" s="10"/>
      <c r="M53" s="388"/>
      <c r="N53" s="10"/>
      <c r="O53" s="388"/>
      <c r="P53" s="10"/>
      <c r="Q53" s="419"/>
      <c r="R53" s="10"/>
      <c r="S53" s="419"/>
      <c r="T53" s="413"/>
      <c r="U53" s="413"/>
      <c r="V53" s="262"/>
      <c r="W53" s="263"/>
      <c r="X53" s="6"/>
      <c r="Z53" s="1"/>
      <c r="AA53" s="1"/>
    </row>
    <row r="54" spans="1:27" s="4" customFormat="1" ht="12.75">
      <c r="A54" s="1"/>
      <c r="B54" s="5"/>
      <c r="C54" s="182"/>
      <c r="D54" s="57"/>
      <c r="E54" s="6"/>
      <c r="F54" s="16"/>
      <c r="G54" s="17"/>
      <c r="H54" s="6"/>
      <c r="I54" s="144"/>
      <c r="J54" s="144"/>
      <c r="K54" s="144"/>
      <c r="L54" s="10"/>
      <c r="M54" s="144"/>
      <c r="P54" s="10"/>
      <c r="Q54" s="419"/>
      <c r="V54" s="107"/>
      <c r="W54" s="263"/>
      <c r="X54" s="6"/>
      <c r="Z54" s="1"/>
      <c r="AA54" s="1"/>
    </row>
    <row r="55" spans="1:27" s="4" customFormat="1" ht="12.75" customHeight="1">
      <c r="A55" s="1"/>
      <c r="B55" s="5"/>
      <c r="C55" s="129"/>
      <c r="D55" s="455" t="s">
        <v>154</v>
      </c>
      <c r="E55" s="455"/>
      <c r="F55" s="455"/>
      <c r="G55" s="455"/>
      <c r="H55" s="455"/>
      <c r="I55" s="455"/>
      <c r="J55" s="455"/>
      <c r="K55" s="387"/>
      <c r="L55" s="387"/>
      <c r="M55" s="387"/>
      <c r="P55" s="387"/>
      <c r="Q55" s="387"/>
      <c r="V55" s="107"/>
      <c r="W55" s="53"/>
      <c r="X55" s="6"/>
      <c r="Z55" s="1"/>
      <c r="AA55" s="1"/>
    </row>
    <row r="56" spans="1:31" s="4" customFormat="1" ht="12.75" customHeight="1">
      <c r="A56" s="1"/>
      <c r="B56" s="5"/>
      <c r="C56" s="129"/>
      <c r="D56" s="454" t="s">
        <v>382</v>
      </c>
      <c r="E56" s="454"/>
      <c r="F56" s="454"/>
      <c r="G56" s="267"/>
      <c r="H56"/>
      <c r="I56"/>
      <c r="J56"/>
      <c r="K56"/>
      <c r="L56"/>
      <c r="M56"/>
      <c r="N56"/>
      <c r="O56" s="267"/>
      <c r="P56"/>
      <c r="Q56"/>
      <c r="R56"/>
      <c r="S56" s="267"/>
      <c r="T56" s="267"/>
      <c r="U56" s="267"/>
      <c r="V56" s="107"/>
      <c r="W56" s="53"/>
      <c r="AA56" s="6"/>
      <c r="AC56" s="1"/>
      <c r="AD56" s="1"/>
      <c r="AE56" s="1"/>
    </row>
    <row r="57" spans="1:31" s="4" customFormat="1" ht="12.75" customHeight="1">
      <c r="A57" s="1"/>
      <c r="B57" s="5"/>
      <c r="C57" s="268"/>
      <c r="D57" s="269" t="s">
        <v>6</v>
      </c>
      <c r="E57" s="89"/>
      <c r="F57" s="269" t="s">
        <v>7</v>
      </c>
      <c r="G57" s="89"/>
      <c r="H57" s="59" t="s">
        <v>371</v>
      </c>
      <c r="I57"/>
      <c r="J57"/>
      <c r="K57"/>
      <c r="L57"/>
      <c r="M57"/>
      <c r="N57"/>
      <c r="O57" s="11"/>
      <c r="P57"/>
      <c r="Q57"/>
      <c r="R57"/>
      <c r="S57" s="11"/>
      <c r="T57" s="11"/>
      <c r="U57" s="11"/>
      <c r="V57" s="107"/>
      <c r="W57" s="53"/>
      <c r="AA57" s="6"/>
      <c r="AC57" s="1"/>
      <c r="AD57" s="1"/>
      <c r="AE57" s="1"/>
    </row>
    <row r="58" spans="1:31" s="4" customFormat="1" ht="12.75" customHeight="1">
      <c r="A58" s="1"/>
      <c r="B58" s="5"/>
      <c r="C58" s="182" t="s">
        <v>336</v>
      </c>
      <c r="D58" s="382">
        <v>0.08</v>
      </c>
      <c r="E58" s="16"/>
      <c r="F58" s="331">
        <v>0.115</v>
      </c>
      <c r="G58" s="16"/>
      <c r="H58" s="397">
        <f aca="true" t="shared" si="1" ref="H58:H65">HLOOKUP($M$59,$D$57:$F$65,ROW(H58)-ROW($H$56),0)</f>
        <v>0.08</v>
      </c>
      <c r="I58"/>
      <c r="J58"/>
      <c r="K58"/>
      <c r="L58" s="394" t="s">
        <v>370</v>
      </c>
      <c r="M58" s="386"/>
      <c r="N58"/>
      <c r="O58" s="17"/>
      <c r="P58"/>
      <c r="Q58"/>
      <c r="R58"/>
      <c r="S58" s="17"/>
      <c r="V58" s="107"/>
      <c r="W58" s="53"/>
      <c r="AA58" s="10"/>
      <c r="AC58" s="1"/>
      <c r="AD58" s="1"/>
      <c r="AE58" s="1"/>
    </row>
    <row r="59" spans="1:31" s="4" customFormat="1" ht="12.75" customHeight="1">
      <c r="A59" s="1"/>
      <c r="B59" s="5"/>
      <c r="C59" s="182" t="s">
        <v>337</v>
      </c>
      <c r="D59" s="331">
        <v>0.32</v>
      </c>
      <c r="E59" s="16"/>
      <c r="F59" s="331">
        <v>0.46</v>
      </c>
      <c r="G59" s="16"/>
      <c r="H59" s="397">
        <f t="shared" si="1"/>
        <v>0.32</v>
      </c>
      <c r="I59"/>
      <c r="J59"/>
      <c r="K59"/>
      <c r="L59" s="270" t="s">
        <v>153</v>
      </c>
      <c r="M59" s="386" t="str">
        <f>Main!C99</f>
        <v>Linux/Unix</v>
      </c>
      <c r="N59"/>
      <c r="O59" s="17"/>
      <c r="P59"/>
      <c r="Q59"/>
      <c r="R59"/>
      <c r="S59" s="17"/>
      <c r="V59" s="107"/>
      <c r="W59" s="53"/>
      <c r="AA59" s="10"/>
      <c r="AC59" s="1"/>
      <c r="AD59" s="1"/>
      <c r="AE59" s="1"/>
    </row>
    <row r="60" spans="1:31" s="4" customFormat="1" ht="12.75" customHeight="1">
      <c r="A60" s="1"/>
      <c r="B60" s="5"/>
      <c r="C60" s="182" t="s">
        <v>338</v>
      </c>
      <c r="D60" s="331">
        <v>0.64</v>
      </c>
      <c r="E60" s="16"/>
      <c r="F60" s="331">
        <v>0.92</v>
      </c>
      <c r="G60" s="16"/>
      <c r="H60" s="397">
        <f t="shared" si="1"/>
        <v>0.64</v>
      </c>
      <c r="I60"/>
      <c r="J60"/>
      <c r="K60"/>
      <c r="L60" s="407" t="s">
        <v>378</v>
      </c>
      <c r="M60" s="407"/>
      <c r="N60"/>
      <c r="O60" s="17"/>
      <c r="P60"/>
      <c r="Q60"/>
      <c r="R60"/>
      <c r="S60" s="17"/>
      <c r="V60" s="107"/>
      <c r="W60" s="53"/>
      <c r="AA60" s="10"/>
      <c r="AC60" s="1"/>
      <c r="AD60" s="1"/>
      <c r="AE60" s="1"/>
    </row>
    <row r="61" spans="1:31" s="4" customFormat="1" ht="12.75" customHeight="1">
      <c r="A61" s="1"/>
      <c r="B61" s="5"/>
      <c r="C61" s="182" t="s">
        <v>377</v>
      </c>
      <c r="D61" s="331">
        <v>0.45</v>
      </c>
      <c r="E61" s="16"/>
      <c r="F61" s="331">
        <v>0.57</v>
      </c>
      <c r="G61" s="16"/>
      <c r="H61" s="397">
        <f t="shared" si="1"/>
        <v>0.45</v>
      </c>
      <c r="I61"/>
      <c r="J61"/>
      <c r="K61"/>
      <c r="L61"/>
      <c r="M61"/>
      <c r="N61"/>
      <c r="O61" s="17"/>
      <c r="P61"/>
      <c r="Q61"/>
      <c r="R61"/>
      <c r="S61" s="17"/>
      <c r="U61" s="394"/>
      <c r="V61" s="107"/>
      <c r="W61" s="53"/>
      <c r="AA61" s="10"/>
      <c r="AC61" s="1"/>
      <c r="AD61" s="1"/>
      <c r="AE61" s="1"/>
    </row>
    <row r="62" spans="1:31" s="4" customFormat="1" ht="12.75" customHeight="1">
      <c r="A62" s="1"/>
      <c r="B62" s="5"/>
      <c r="C62" s="182" t="s">
        <v>334</v>
      </c>
      <c r="D62" s="331">
        <v>0.9</v>
      </c>
      <c r="E62" s="16"/>
      <c r="F62" s="331">
        <v>1.14</v>
      </c>
      <c r="G62" s="16"/>
      <c r="H62" s="397">
        <f t="shared" si="1"/>
        <v>0.9</v>
      </c>
      <c r="I62"/>
      <c r="J62"/>
      <c r="K62"/>
      <c r="L62"/>
      <c r="M62"/>
      <c r="N62"/>
      <c r="O62" s="17"/>
      <c r="P62"/>
      <c r="Q62"/>
      <c r="R62"/>
      <c r="S62" s="17"/>
      <c r="V62" s="107"/>
      <c r="W62" s="53"/>
      <c r="AA62" s="10"/>
      <c r="AC62" s="1"/>
      <c r="AD62" s="1"/>
      <c r="AE62" s="1"/>
    </row>
    <row r="63" spans="1:31" s="4" customFormat="1" ht="12.75" customHeight="1">
      <c r="A63" s="1"/>
      <c r="B63" s="5"/>
      <c r="C63" s="182" t="s">
        <v>335</v>
      </c>
      <c r="D63" s="331">
        <v>1.8</v>
      </c>
      <c r="E63" s="16"/>
      <c r="F63" s="331">
        <v>2.28</v>
      </c>
      <c r="G63" s="16"/>
      <c r="H63" s="397">
        <f t="shared" si="1"/>
        <v>1.8</v>
      </c>
      <c r="I63"/>
      <c r="J63"/>
      <c r="K63"/>
      <c r="L63"/>
      <c r="M63"/>
      <c r="N63"/>
      <c r="O63" s="17"/>
      <c r="P63"/>
      <c r="Q63"/>
      <c r="R63"/>
      <c r="S63" s="17"/>
      <c r="V63" s="107"/>
      <c r="W63" s="53"/>
      <c r="AA63" s="10"/>
      <c r="AC63" s="1"/>
      <c r="AD63" s="1"/>
      <c r="AE63" s="1"/>
    </row>
    <row r="64" spans="1:31" s="4" customFormat="1" ht="12.75" customHeight="1">
      <c r="A64" s="1"/>
      <c r="B64" s="5"/>
      <c r="C64" s="182" t="s">
        <v>339</v>
      </c>
      <c r="D64" s="331">
        <v>0.165</v>
      </c>
      <c r="E64" s="16"/>
      <c r="F64" s="331">
        <v>0.285</v>
      </c>
      <c r="G64" s="16"/>
      <c r="H64" s="397">
        <f t="shared" si="1"/>
        <v>0.165</v>
      </c>
      <c r="I64"/>
      <c r="J64"/>
      <c r="K64"/>
      <c r="L64"/>
      <c r="M64"/>
      <c r="N64"/>
      <c r="O64" s="17"/>
      <c r="P64"/>
      <c r="Q64"/>
      <c r="R64"/>
      <c r="S64" s="17"/>
      <c r="V64" s="107"/>
      <c r="W64" s="53"/>
      <c r="AA64" s="10"/>
      <c r="AC64" s="1"/>
      <c r="AD64" s="1"/>
      <c r="AE64" s="1"/>
    </row>
    <row r="65" spans="1:31" s="4" customFormat="1" ht="12.75" customHeight="1">
      <c r="A65" s="1"/>
      <c r="B65" s="5"/>
      <c r="C65" s="182" t="s">
        <v>340</v>
      </c>
      <c r="D65" s="331">
        <v>0.66</v>
      </c>
      <c r="E65" s="16"/>
      <c r="F65" s="331">
        <v>1.14</v>
      </c>
      <c r="G65" s="16"/>
      <c r="H65" s="397">
        <f t="shared" si="1"/>
        <v>0.66</v>
      </c>
      <c r="I65"/>
      <c r="J65"/>
      <c r="K65"/>
      <c r="L65"/>
      <c r="M65"/>
      <c r="N65"/>
      <c r="O65" s="17"/>
      <c r="P65"/>
      <c r="Q65"/>
      <c r="R65"/>
      <c r="S65" s="17"/>
      <c r="T65" s="17"/>
      <c r="U65" s="17"/>
      <c r="V65" s="107"/>
      <c r="W65" s="53"/>
      <c r="Y65" s="7"/>
      <c r="AA65" s="10"/>
      <c r="AC65" s="1"/>
      <c r="AD65" s="1"/>
      <c r="AE65" s="1"/>
    </row>
    <row r="66" spans="1:27" s="4" customFormat="1" ht="12.75" customHeight="1">
      <c r="A66" s="1"/>
      <c r="B66" s="5"/>
      <c r="C66" s="96"/>
      <c r="D66" s="12"/>
      <c r="E66" s="16"/>
      <c r="F66" s="12"/>
      <c r="G66" s="16"/>
      <c r="H66" s="12"/>
      <c r="I66" s="16"/>
      <c r="J66" s="12"/>
      <c r="K66" s="17"/>
      <c r="O66" s="390"/>
      <c r="S66" s="390"/>
      <c r="T66" s="390"/>
      <c r="U66" s="390"/>
      <c r="V66" s="271"/>
      <c r="W66" s="53"/>
      <c r="X66" s="6"/>
      <c r="Z66" s="1"/>
      <c r="AA66" s="1"/>
    </row>
    <row r="67" spans="1:27" s="4" customFormat="1" ht="51">
      <c r="A67" s="1"/>
      <c r="B67" s="5"/>
      <c r="C67" s="129"/>
      <c r="D67" s="61" t="s">
        <v>367</v>
      </c>
      <c r="E67" s="16" t="s">
        <v>13</v>
      </c>
      <c r="F67" s="61" t="s">
        <v>365</v>
      </c>
      <c r="G67" s="162" t="s">
        <v>29</v>
      </c>
      <c r="H67" s="61" t="s">
        <v>363</v>
      </c>
      <c r="I67" s="7" t="s">
        <v>18</v>
      </c>
      <c r="J67" s="59" t="s">
        <v>50</v>
      </c>
      <c r="K67" s="90" t="s">
        <v>29</v>
      </c>
      <c r="L67" s="59" t="s">
        <v>165</v>
      </c>
      <c r="P67" s="45"/>
      <c r="V67" s="107"/>
      <c r="W67" s="53"/>
      <c r="X67" s="6"/>
      <c r="Z67" s="1"/>
      <c r="AA67" s="1"/>
    </row>
    <row r="68" spans="1:27" s="4" customFormat="1" ht="12.75" customHeight="1">
      <c r="A68" s="1"/>
      <c r="B68" s="5"/>
      <c r="C68" s="182" t="s">
        <v>336</v>
      </c>
      <c r="D68" s="384">
        <f aca="true" t="shared" si="2" ref="D68:D75">D45*(8736*L45)</f>
        <v>1965600</v>
      </c>
      <c r="E68" s="16"/>
      <c r="F68" s="58">
        <f aca="true" t="shared" si="3" ref="F68:F75">F45*(8736*N45)</f>
        <v>611520</v>
      </c>
      <c r="H68" s="58">
        <f aca="true" t="shared" si="4" ref="H68:H75">D68+F68</f>
        <v>2577120</v>
      </c>
      <c r="J68" s="397">
        <f aca="true" t="shared" si="5" ref="J68:J75">H58</f>
        <v>0.08</v>
      </c>
      <c r="K68" s="17"/>
      <c r="L68" s="13">
        <f aca="true" t="shared" si="6" ref="L68:L75">H68*J68</f>
        <v>206169.6</v>
      </c>
      <c r="P68" s="13"/>
      <c r="V68" s="107"/>
      <c r="W68" s="53"/>
      <c r="X68" s="6"/>
      <c r="Z68" s="1"/>
      <c r="AA68" s="1"/>
    </row>
    <row r="69" spans="1:27" s="4" customFormat="1" ht="12.75" customHeight="1">
      <c r="A69" s="1"/>
      <c r="B69" s="5"/>
      <c r="C69" s="182" t="s">
        <v>337</v>
      </c>
      <c r="D69" s="58">
        <f t="shared" si="2"/>
        <v>0</v>
      </c>
      <c r="E69" s="16"/>
      <c r="F69" s="58">
        <f t="shared" si="3"/>
        <v>0</v>
      </c>
      <c r="H69" s="58">
        <f t="shared" si="4"/>
        <v>0</v>
      </c>
      <c r="J69" s="24">
        <f t="shared" si="5"/>
        <v>0.32</v>
      </c>
      <c r="K69" s="17"/>
      <c r="L69" s="13">
        <f t="shared" si="6"/>
        <v>0</v>
      </c>
      <c r="P69" s="13"/>
      <c r="V69" s="107"/>
      <c r="W69" s="53"/>
      <c r="X69" s="6"/>
      <c r="Z69" s="1"/>
      <c r="AA69" s="1"/>
    </row>
    <row r="70" spans="1:27" s="4" customFormat="1" ht="12.75" customHeight="1">
      <c r="A70" s="1"/>
      <c r="B70" s="5"/>
      <c r="C70" s="182" t="s">
        <v>338</v>
      </c>
      <c r="D70" s="58">
        <f t="shared" si="2"/>
        <v>0</v>
      </c>
      <c r="E70" s="16"/>
      <c r="F70" s="58">
        <f t="shared" si="3"/>
        <v>0</v>
      </c>
      <c r="H70" s="58">
        <f t="shared" si="4"/>
        <v>0</v>
      </c>
      <c r="J70" s="24">
        <f t="shared" si="5"/>
        <v>0.64</v>
      </c>
      <c r="K70" s="17"/>
      <c r="L70" s="13">
        <f t="shared" si="6"/>
        <v>0</v>
      </c>
      <c r="P70" s="13"/>
      <c r="V70" s="107"/>
      <c r="W70" s="53"/>
      <c r="X70" s="6"/>
      <c r="Z70" s="1"/>
      <c r="AA70" s="1"/>
    </row>
    <row r="71" spans="1:27" s="4" customFormat="1" ht="12.75" customHeight="1">
      <c r="A71" s="1"/>
      <c r="B71" s="5"/>
      <c r="C71" s="182" t="s">
        <v>377</v>
      </c>
      <c r="D71" s="58">
        <f t="shared" si="2"/>
        <v>0</v>
      </c>
      <c r="E71" s="16"/>
      <c r="F71" s="58">
        <f t="shared" si="3"/>
        <v>0</v>
      </c>
      <c r="H71" s="58">
        <f>D71+F71</f>
        <v>0</v>
      </c>
      <c r="J71" s="24">
        <f t="shared" si="5"/>
        <v>0.45</v>
      </c>
      <c r="K71" s="17"/>
      <c r="L71" s="13">
        <f>H71*J71</f>
        <v>0</v>
      </c>
      <c r="P71" s="13"/>
      <c r="V71" s="107"/>
      <c r="W71" s="53"/>
      <c r="X71" s="6"/>
      <c r="Z71" s="1"/>
      <c r="AA71" s="1"/>
    </row>
    <row r="72" spans="1:27" s="4" customFormat="1" ht="12.75" customHeight="1">
      <c r="A72" s="1"/>
      <c r="B72" s="5"/>
      <c r="C72" s="182" t="s">
        <v>334</v>
      </c>
      <c r="D72" s="58">
        <f t="shared" si="2"/>
        <v>0</v>
      </c>
      <c r="E72" s="16"/>
      <c r="F72" s="58">
        <f t="shared" si="3"/>
        <v>0</v>
      </c>
      <c r="H72" s="58">
        <f t="shared" si="4"/>
        <v>0</v>
      </c>
      <c r="J72" s="24">
        <f t="shared" si="5"/>
        <v>0.9</v>
      </c>
      <c r="K72" s="17"/>
      <c r="L72" s="13">
        <f t="shared" si="6"/>
        <v>0</v>
      </c>
      <c r="P72" s="13"/>
      <c r="V72" s="107"/>
      <c r="W72" s="53"/>
      <c r="X72" s="6"/>
      <c r="Z72" s="1"/>
      <c r="AA72" s="1"/>
    </row>
    <row r="73" spans="1:27" s="4" customFormat="1" ht="12.75" customHeight="1">
      <c r="A73" s="1"/>
      <c r="B73" s="5"/>
      <c r="C73" s="182" t="s">
        <v>335</v>
      </c>
      <c r="D73" s="58">
        <f t="shared" si="2"/>
        <v>0</v>
      </c>
      <c r="E73" s="16"/>
      <c r="F73" s="58">
        <f t="shared" si="3"/>
        <v>0</v>
      </c>
      <c r="H73" s="58">
        <f t="shared" si="4"/>
        <v>0</v>
      </c>
      <c r="J73" s="24">
        <f t="shared" si="5"/>
        <v>1.8</v>
      </c>
      <c r="K73" s="17"/>
      <c r="L73" s="13">
        <f t="shared" si="6"/>
        <v>0</v>
      </c>
      <c r="P73" s="13"/>
      <c r="V73" s="107"/>
      <c r="W73" s="53"/>
      <c r="X73" s="6"/>
      <c r="Z73" s="1"/>
      <c r="AA73" s="1"/>
    </row>
    <row r="74" spans="1:27" s="4" customFormat="1" ht="12.75" customHeight="1">
      <c r="A74" s="1"/>
      <c r="B74" s="5"/>
      <c r="C74" s="182" t="s">
        <v>339</v>
      </c>
      <c r="D74" s="58">
        <f t="shared" si="2"/>
        <v>0</v>
      </c>
      <c r="E74" s="16"/>
      <c r="F74" s="58">
        <f t="shared" si="3"/>
        <v>0</v>
      </c>
      <c r="H74" s="58">
        <f t="shared" si="4"/>
        <v>0</v>
      </c>
      <c r="J74" s="24">
        <f t="shared" si="5"/>
        <v>0.165</v>
      </c>
      <c r="K74" s="17"/>
      <c r="L74" s="13">
        <f t="shared" si="6"/>
        <v>0</v>
      </c>
      <c r="P74" s="13"/>
      <c r="V74" s="107"/>
      <c r="W74" s="53"/>
      <c r="X74" s="6"/>
      <c r="Z74" s="1"/>
      <c r="AA74" s="1"/>
    </row>
    <row r="75" spans="1:27" s="4" customFormat="1" ht="12.75" customHeight="1">
      <c r="A75" s="1"/>
      <c r="B75" s="5"/>
      <c r="C75" s="182" t="s">
        <v>340</v>
      </c>
      <c r="D75" s="135">
        <f t="shared" si="2"/>
        <v>0</v>
      </c>
      <c r="E75" s="135"/>
      <c r="F75" s="135">
        <f t="shared" si="3"/>
        <v>0</v>
      </c>
      <c r="H75" s="135">
        <f t="shared" si="4"/>
        <v>0</v>
      </c>
      <c r="J75" s="24">
        <f t="shared" si="5"/>
        <v>0.66</v>
      </c>
      <c r="K75" s="17"/>
      <c r="L75" s="34">
        <f t="shared" si="6"/>
        <v>0</v>
      </c>
      <c r="P75" s="13"/>
      <c r="V75" s="107"/>
      <c r="W75" s="53"/>
      <c r="X75" s="6"/>
      <c r="Z75" s="1"/>
      <c r="AA75" s="1"/>
    </row>
    <row r="76" spans="1:27" s="4" customFormat="1" ht="12.75" customHeight="1">
      <c r="A76" s="1"/>
      <c r="B76" s="5"/>
      <c r="C76" s="182"/>
      <c r="D76" s="58">
        <f>SUM(D68:D75)</f>
        <v>1965600</v>
      </c>
      <c r="E76" s="58"/>
      <c r="F76" s="58">
        <f>SUM(F68:F75)</f>
        <v>611520</v>
      </c>
      <c r="G76" s="58"/>
      <c r="H76" s="58">
        <f>SUM(H68:H75)</f>
        <v>2577120</v>
      </c>
      <c r="J76" s="24"/>
      <c r="K76" s="17"/>
      <c r="L76" s="124">
        <f>SUM(L68:L75)</f>
        <v>206169.6</v>
      </c>
      <c r="P76" s="124"/>
      <c r="V76" s="107"/>
      <c r="W76" s="53"/>
      <c r="X76" s="6"/>
      <c r="Z76" s="1"/>
      <c r="AA76" s="1"/>
    </row>
    <row r="77" spans="1:27" s="4" customFormat="1" ht="12.75" customHeight="1">
      <c r="A77" s="1"/>
      <c r="B77" s="5"/>
      <c r="C77" s="129"/>
      <c r="D77" s="24"/>
      <c r="E77" s="6"/>
      <c r="F77" s="10"/>
      <c r="G77" s="17"/>
      <c r="H77" s="13"/>
      <c r="I77" s="16"/>
      <c r="L77" s="10"/>
      <c r="M77" s="16"/>
      <c r="N77" s="35"/>
      <c r="O77" s="17"/>
      <c r="P77" s="10"/>
      <c r="Q77" s="16"/>
      <c r="R77" s="35"/>
      <c r="S77" s="17"/>
      <c r="T77" s="17"/>
      <c r="U77" s="17"/>
      <c r="V77" s="107"/>
      <c r="W77" s="53"/>
      <c r="X77" s="6"/>
      <c r="Z77" s="1"/>
      <c r="AA77" s="1"/>
    </row>
    <row r="78" spans="1:27" s="4" customFormat="1" ht="12.75" customHeight="1">
      <c r="A78" s="1"/>
      <c r="B78" s="5"/>
      <c r="C78" s="129"/>
      <c r="D78" s="272" t="s">
        <v>364</v>
      </c>
      <c r="E78" s="6"/>
      <c r="F78" s="10"/>
      <c r="G78" s="17"/>
      <c r="H78" s="13"/>
      <c r="I78" s="16"/>
      <c r="L78" s="10"/>
      <c r="M78" s="16"/>
      <c r="N78" s="35"/>
      <c r="O78" s="17"/>
      <c r="P78" s="10"/>
      <c r="Q78" s="16"/>
      <c r="R78" s="35"/>
      <c r="S78" s="17"/>
      <c r="T78" s="17"/>
      <c r="U78" s="17"/>
      <c r="V78" s="118"/>
      <c r="W78" s="53"/>
      <c r="X78" s="6"/>
      <c r="Z78" s="1"/>
      <c r="AA78" s="1"/>
    </row>
    <row r="79" spans="1:27" s="4" customFormat="1" ht="12.75" customHeight="1">
      <c r="A79" s="1"/>
      <c r="B79" s="5"/>
      <c r="C79" s="129"/>
      <c r="D79" s="272" t="s">
        <v>366</v>
      </c>
      <c r="E79" s="6"/>
      <c r="F79" s="10"/>
      <c r="G79" s="17"/>
      <c r="H79" s="13"/>
      <c r="I79" s="16"/>
      <c r="L79" s="10"/>
      <c r="M79" s="16"/>
      <c r="N79" s="35"/>
      <c r="O79" s="17"/>
      <c r="P79" s="10"/>
      <c r="Q79" s="16"/>
      <c r="R79" s="35"/>
      <c r="S79" s="17"/>
      <c r="T79" s="17"/>
      <c r="U79" s="17"/>
      <c r="V79" s="118"/>
      <c r="W79" s="53"/>
      <c r="X79" s="6"/>
      <c r="Z79" s="1"/>
      <c r="AA79" s="1"/>
    </row>
    <row r="80" spans="1:27" s="4" customFormat="1" ht="12.75" customHeight="1">
      <c r="A80" s="1"/>
      <c r="B80" s="5"/>
      <c r="C80" s="119"/>
      <c r="D80" s="44"/>
      <c r="E80" s="44"/>
      <c r="F80" s="120"/>
      <c r="G80" s="100"/>
      <c r="H80" s="34"/>
      <c r="I80" s="99"/>
      <c r="J80" s="120"/>
      <c r="K80" s="99"/>
      <c r="L80" s="44"/>
      <c r="M80" s="100"/>
      <c r="N80" s="44"/>
      <c r="O80" s="100"/>
      <c r="P80" s="44"/>
      <c r="Q80" s="100"/>
      <c r="R80" s="44"/>
      <c r="S80" s="100"/>
      <c r="T80" s="100"/>
      <c r="U80" s="100"/>
      <c r="V80" s="121"/>
      <c r="W80" s="53"/>
      <c r="X80" s="6"/>
      <c r="Z80" s="1"/>
      <c r="AA80" s="1"/>
    </row>
    <row r="81" spans="1:27" s="4" customFormat="1" ht="12.75" customHeight="1">
      <c r="A81" s="1"/>
      <c r="B81" s="5"/>
      <c r="D81" s="6"/>
      <c r="E81" s="6"/>
      <c r="F81" s="10"/>
      <c r="G81" s="17"/>
      <c r="H81" s="13"/>
      <c r="I81" s="16"/>
      <c r="J81" s="10"/>
      <c r="K81" s="16"/>
      <c r="L81" s="6"/>
      <c r="M81" s="17"/>
      <c r="N81" s="6"/>
      <c r="O81" s="17"/>
      <c r="P81" s="6"/>
      <c r="Q81" s="17"/>
      <c r="R81" s="6"/>
      <c r="S81" s="17"/>
      <c r="T81" s="17"/>
      <c r="U81" s="17"/>
      <c r="V81" s="6"/>
      <c r="W81" s="53"/>
      <c r="X81" s="6"/>
      <c r="Z81" s="1"/>
      <c r="AA81" s="1"/>
    </row>
    <row r="82" spans="1:27" s="4" customFormat="1" ht="12.75" customHeight="1">
      <c r="A82" s="1"/>
      <c r="B82" s="5"/>
      <c r="C82" s="249" t="s">
        <v>425</v>
      </c>
      <c r="D82" s="6"/>
      <c r="E82" s="6"/>
      <c r="F82"/>
      <c r="G82"/>
      <c r="H82"/>
      <c r="I82"/>
      <c r="J82"/>
      <c r="K82"/>
      <c r="L82"/>
      <c r="M82"/>
      <c r="N82"/>
      <c r="O82"/>
      <c r="P82"/>
      <c r="Q82"/>
      <c r="R82"/>
      <c r="S82"/>
      <c r="T82"/>
      <c r="U82"/>
      <c r="V82"/>
      <c r="W82" s="53"/>
      <c r="X82" s="6"/>
      <c r="Z82" s="1"/>
      <c r="AA82" s="1"/>
    </row>
    <row r="83" spans="1:27" s="4" customFormat="1" ht="12.75" customHeight="1">
      <c r="A83" s="1"/>
      <c r="B83" s="5"/>
      <c r="D83" s="6"/>
      <c r="E83" s="6"/>
      <c r="F83" s="10"/>
      <c r="G83" s="17"/>
      <c r="H83" s="459"/>
      <c r="I83" s="459"/>
      <c r="J83" s="459"/>
      <c r="K83" s="459"/>
      <c r="L83" s="459"/>
      <c r="M83" s="459"/>
      <c r="N83" s="459"/>
      <c r="O83" s="459"/>
      <c r="P83" s="459"/>
      <c r="Q83" s="459"/>
      <c r="R83" s="459"/>
      <c r="S83" s="459"/>
      <c r="T83" s="459"/>
      <c r="U83" s="459"/>
      <c r="V83" s="459"/>
      <c r="W83" s="53"/>
      <c r="X83" s="6"/>
      <c r="Z83" s="1"/>
      <c r="AA83" s="1"/>
    </row>
    <row r="84" spans="1:27" s="4" customFormat="1" ht="12.75" customHeight="1">
      <c r="A84" s="1"/>
      <c r="B84" s="5"/>
      <c r="C84" s="80"/>
      <c r="D84" s="273" t="s">
        <v>0</v>
      </c>
      <c r="E84" s="273"/>
      <c r="F84" s="274" t="s">
        <v>1</v>
      </c>
      <c r="G84" s="17"/>
      <c r="H84" s="459"/>
      <c r="I84" s="459"/>
      <c r="J84" s="459"/>
      <c r="K84" s="459"/>
      <c r="L84" s="459"/>
      <c r="M84" s="459"/>
      <c r="N84" s="459"/>
      <c r="O84" s="459"/>
      <c r="P84" s="459"/>
      <c r="Q84" s="459"/>
      <c r="R84" s="459"/>
      <c r="S84" s="459"/>
      <c r="T84" s="459"/>
      <c r="U84" s="459"/>
      <c r="V84" s="459"/>
      <c r="W84" s="53"/>
      <c r="X84" s="6"/>
      <c r="Z84" s="1"/>
      <c r="AA84" s="1"/>
    </row>
    <row r="85" spans="1:27" s="4" customFormat="1" ht="12.75" customHeight="1">
      <c r="A85" s="1"/>
      <c r="B85" s="5"/>
      <c r="C85" s="4" t="s">
        <v>412</v>
      </c>
      <c r="D85" s="13">
        <f>L220</f>
        <v>95174.4</v>
      </c>
      <c r="E85" s="6"/>
      <c r="F85" s="13">
        <f>L231</f>
        <v>62346.4</v>
      </c>
      <c r="G85" s="57" t="s">
        <v>354</v>
      </c>
      <c r="H85" s="275"/>
      <c r="I85" s="275"/>
      <c r="J85" s="275"/>
      <c r="K85" s="275"/>
      <c r="L85" s="275"/>
      <c r="M85" s="275"/>
      <c r="N85" s="275"/>
      <c r="O85" s="275"/>
      <c r="P85" s="275"/>
      <c r="Q85" s="275"/>
      <c r="R85" s="275"/>
      <c r="S85" s="275"/>
      <c r="T85" s="275"/>
      <c r="U85" s="275"/>
      <c r="V85" s="275"/>
      <c r="W85" s="53"/>
      <c r="X85" s="6"/>
      <c r="Z85" s="1"/>
      <c r="AA85" s="1"/>
    </row>
    <row r="86" spans="1:27" s="4" customFormat="1" ht="12.75" customHeight="1">
      <c r="A86" s="1"/>
      <c r="B86" s="5"/>
      <c r="C86" s="396" t="s">
        <v>155</v>
      </c>
      <c r="D86" s="34">
        <f>$H$243</f>
        <v>48921.6</v>
      </c>
      <c r="E86" s="6"/>
      <c r="F86" s="34">
        <f>$H$243</f>
        <v>48921.6</v>
      </c>
      <c r="G86" s="57" t="s">
        <v>235</v>
      </c>
      <c r="H86" s="275"/>
      <c r="I86" s="275"/>
      <c r="J86" s="275"/>
      <c r="K86" s="275"/>
      <c r="L86" s="275"/>
      <c r="M86" s="275"/>
      <c r="N86" s="275"/>
      <c r="O86" s="275"/>
      <c r="P86" s="275"/>
      <c r="Q86" s="275"/>
      <c r="R86" s="275"/>
      <c r="S86" s="275"/>
      <c r="T86" s="275"/>
      <c r="U86" s="275"/>
      <c r="V86" s="275"/>
      <c r="W86" s="53"/>
      <c r="X86" s="6"/>
      <c r="Z86" s="1"/>
      <c r="AA86" s="1"/>
    </row>
    <row r="87" spans="1:27" s="4" customFormat="1" ht="12.75" customHeight="1">
      <c r="A87" s="1"/>
      <c r="B87" s="5"/>
      <c r="C87" s="11" t="s">
        <v>10</v>
      </c>
      <c r="D87" s="35">
        <f>SUM(D85:D86)</f>
        <v>144096</v>
      </c>
      <c r="E87" s="6"/>
      <c r="F87" s="35">
        <f>L167+SUM(F85:F86)</f>
        <v>131968</v>
      </c>
      <c r="G87" s="17"/>
      <c r="H87" s="275"/>
      <c r="I87" s="275"/>
      <c r="J87" s="275"/>
      <c r="K87" s="275"/>
      <c r="L87" s="275"/>
      <c r="M87" s="275"/>
      <c r="N87" s="275"/>
      <c r="O87" s="275"/>
      <c r="P87" s="275"/>
      <c r="Q87" s="275"/>
      <c r="R87" s="275"/>
      <c r="S87" s="275"/>
      <c r="T87" s="275"/>
      <c r="U87" s="275"/>
      <c r="V87" s="275"/>
      <c r="W87" s="53"/>
      <c r="X87" s="6"/>
      <c r="Z87" s="1"/>
      <c r="AA87" s="1"/>
    </row>
    <row r="88" spans="1:27" s="4" customFormat="1" ht="12.75" customHeight="1">
      <c r="A88" s="1"/>
      <c r="B88" s="5"/>
      <c r="C88" s="11"/>
      <c r="D88" s="35"/>
      <c r="E88" s="6"/>
      <c r="F88" s="35"/>
      <c r="G88" s="17"/>
      <c r="H88" s="275"/>
      <c r="I88" s="275"/>
      <c r="J88" s="275"/>
      <c r="K88" s="275"/>
      <c r="L88" s="275"/>
      <c r="M88" s="275"/>
      <c r="N88" s="275"/>
      <c r="O88" s="275"/>
      <c r="P88" s="275"/>
      <c r="Q88" s="275"/>
      <c r="R88" s="275"/>
      <c r="S88" s="275"/>
      <c r="T88" s="275"/>
      <c r="U88" s="275"/>
      <c r="V88" s="275"/>
      <c r="W88" s="53"/>
      <c r="X88" s="6"/>
      <c r="Z88" s="1"/>
      <c r="AA88" s="1"/>
    </row>
    <row r="89" spans="1:27" s="4" customFormat="1" ht="12.75" customHeight="1">
      <c r="A89" s="1"/>
      <c r="B89" s="5"/>
      <c r="C89" s="28" t="s">
        <v>156</v>
      </c>
      <c r="D89" s="35"/>
      <c r="E89" s="6"/>
      <c r="F89" s="35"/>
      <c r="G89" s="17"/>
      <c r="H89" s="275"/>
      <c r="I89" s="275"/>
      <c r="J89" s="275"/>
      <c r="K89" s="275"/>
      <c r="L89" s="275"/>
      <c r="M89" s="275"/>
      <c r="N89" s="275"/>
      <c r="O89" s="275"/>
      <c r="P89" s="275"/>
      <c r="Q89" s="275"/>
      <c r="R89" s="275"/>
      <c r="S89" s="275"/>
      <c r="T89" s="275"/>
      <c r="U89" s="275"/>
      <c r="V89" s="275"/>
      <c r="W89" s="53"/>
      <c r="X89" s="6"/>
      <c r="Z89" s="1"/>
      <c r="AA89" s="1"/>
    </row>
    <row r="90" spans="1:27" s="4" customFormat="1" ht="12.75" customHeight="1">
      <c r="A90" s="1"/>
      <c r="B90" s="5"/>
      <c r="D90" s="6"/>
      <c r="E90" s="6"/>
      <c r="F90" s="10"/>
      <c r="G90" s="17"/>
      <c r="H90" s="13"/>
      <c r="I90" s="16"/>
      <c r="J90" s="10"/>
      <c r="K90" s="16"/>
      <c r="L90" s="6"/>
      <c r="M90" s="17"/>
      <c r="N90" s="6"/>
      <c r="O90" s="17"/>
      <c r="P90" s="6"/>
      <c r="Q90" s="17"/>
      <c r="R90" s="6"/>
      <c r="S90" s="17"/>
      <c r="T90" s="17"/>
      <c r="U90" s="17"/>
      <c r="V90" s="6"/>
      <c r="W90" s="53"/>
      <c r="X90" s="6"/>
      <c r="Z90" s="1"/>
      <c r="AA90" s="1"/>
    </row>
    <row r="91" spans="1:27" s="4" customFormat="1" ht="12.75" customHeight="1">
      <c r="A91" s="1"/>
      <c r="B91" s="5"/>
      <c r="C91" s="111"/>
      <c r="D91" s="276"/>
      <c r="E91" s="112"/>
      <c r="F91" s="116"/>
      <c r="G91" s="113"/>
      <c r="H91" s="114"/>
      <c r="I91" s="115"/>
      <c r="J91" s="95"/>
      <c r="K91" s="95"/>
      <c r="L91" s="116"/>
      <c r="M91" s="115"/>
      <c r="N91" s="252"/>
      <c r="O91" s="113"/>
      <c r="P91" s="116"/>
      <c r="Q91" s="115"/>
      <c r="R91" s="252"/>
      <c r="S91" s="113"/>
      <c r="T91" s="113"/>
      <c r="U91" s="113"/>
      <c r="V91" s="117"/>
      <c r="W91" s="53"/>
      <c r="X91" s="6"/>
      <c r="Z91" s="1"/>
      <c r="AA91" s="1"/>
    </row>
    <row r="92" spans="1:27" s="4" customFormat="1" ht="12.75" customHeight="1">
      <c r="A92" s="1"/>
      <c r="B92" s="5"/>
      <c r="C92" s="253" t="s">
        <v>11</v>
      </c>
      <c r="D92" s="277"/>
      <c r="E92" s="278"/>
      <c r="F92" s="279"/>
      <c r="G92" s="181"/>
      <c r="H92" s="280"/>
      <c r="I92" s="181"/>
      <c r="J92" s="91"/>
      <c r="K92" s="91"/>
      <c r="L92" s="279"/>
      <c r="M92" s="181"/>
      <c r="N92" s="281"/>
      <c r="O92" s="181"/>
      <c r="P92" s="279"/>
      <c r="Q92" s="181"/>
      <c r="R92" s="281"/>
      <c r="S92" s="181"/>
      <c r="T92" s="181"/>
      <c r="U92" s="181"/>
      <c r="V92" s="282"/>
      <c r="W92" s="53"/>
      <c r="X92" s="6"/>
      <c r="Z92" s="1"/>
      <c r="AA92" s="1"/>
    </row>
    <row r="93" spans="1:27" s="4" customFormat="1" ht="43.5" customHeight="1">
      <c r="A93" s="1"/>
      <c r="B93" s="5"/>
      <c r="C93" s="456" t="s">
        <v>424</v>
      </c>
      <c r="D93" s="457"/>
      <c r="E93" s="457"/>
      <c r="F93" s="457"/>
      <c r="G93" s="457"/>
      <c r="H93" s="457"/>
      <c r="I93" s="457"/>
      <c r="J93" s="457"/>
      <c r="K93" s="457"/>
      <c r="L93" s="457"/>
      <c r="M93" s="457"/>
      <c r="N93" s="457"/>
      <c r="O93" s="457"/>
      <c r="P93" s="457"/>
      <c r="Q93" s="457"/>
      <c r="R93" s="457"/>
      <c r="S93" s="457"/>
      <c r="T93" s="457"/>
      <c r="U93" s="457"/>
      <c r="V93" s="458"/>
      <c r="W93" s="260"/>
      <c r="X93" s="6"/>
      <c r="Z93" s="1"/>
      <c r="AA93" s="1"/>
    </row>
    <row r="94" spans="1:27" s="4" customFormat="1" ht="12.75" customHeight="1">
      <c r="A94" s="1"/>
      <c r="B94" s="5"/>
      <c r="C94" s="283"/>
      <c r="D94" s="6"/>
      <c r="E94" s="6"/>
      <c r="F94" s="10"/>
      <c r="G94" s="17"/>
      <c r="H94" s="13"/>
      <c r="I94" s="16"/>
      <c r="J94" s="13"/>
      <c r="K94" s="17"/>
      <c r="L94" s="6"/>
      <c r="M94" s="17"/>
      <c r="N94" s="6"/>
      <c r="P94" s="6"/>
      <c r="Q94" s="17"/>
      <c r="R94" s="6"/>
      <c r="V94" s="107"/>
      <c r="W94" s="53"/>
      <c r="X94" s="6"/>
      <c r="Z94" s="1"/>
      <c r="AA94" s="1"/>
    </row>
    <row r="95" spans="1:27" s="4" customFormat="1" ht="51">
      <c r="A95" s="1"/>
      <c r="B95" s="5"/>
      <c r="C95" s="159"/>
      <c r="D95" s="265" t="s">
        <v>355</v>
      </c>
      <c r="E95" s="264" t="s">
        <v>13</v>
      </c>
      <c r="F95" s="265" t="s">
        <v>202</v>
      </c>
      <c r="G95" s="4" t="s">
        <v>29</v>
      </c>
      <c r="H95" s="265" t="s">
        <v>49</v>
      </c>
      <c r="I95" s="144"/>
      <c r="J95" s="144"/>
      <c r="K95" s="144"/>
      <c r="L95" s="337" t="s">
        <v>356</v>
      </c>
      <c r="M95" s="144"/>
      <c r="N95" s="337" t="s">
        <v>205</v>
      </c>
      <c r="O95" s="144"/>
      <c r="P95" s="421"/>
      <c r="Q95" s="419"/>
      <c r="R95" s="421"/>
      <c r="S95" s="419"/>
      <c r="T95" s="413"/>
      <c r="U95" s="413"/>
      <c r="V95" s="262"/>
      <c r="W95" s="263"/>
      <c r="X95" s="6"/>
      <c r="Z95" s="1"/>
      <c r="AA95" s="1"/>
    </row>
    <row r="96" spans="1:27" s="4" customFormat="1" ht="12.75">
      <c r="A96" s="1"/>
      <c r="B96" s="5"/>
      <c r="C96" s="182" t="s">
        <v>336</v>
      </c>
      <c r="D96" s="6">
        <f aca="true" t="shared" si="7" ref="D96:D103">D45</f>
        <v>300</v>
      </c>
      <c r="E96" s="6"/>
      <c r="F96" s="6">
        <f aca="true" t="shared" si="8" ref="F96:F103">F45</f>
        <v>700</v>
      </c>
      <c r="G96" s="17"/>
      <c r="H96" s="6">
        <f aca="true" t="shared" si="9" ref="H96:H103">D96+F96</f>
        <v>1000</v>
      </c>
      <c r="I96" s="144"/>
      <c r="J96" s="144"/>
      <c r="K96" s="144"/>
      <c r="L96" s="10">
        <f>Main!F29</f>
        <v>0.75</v>
      </c>
      <c r="M96" s="144"/>
      <c r="N96" s="10">
        <f>Main!F39</f>
        <v>0.1</v>
      </c>
      <c r="O96" s="144"/>
      <c r="P96" s="10"/>
      <c r="Q96" s="419"/>
      <c r="R96" s="10"/>
      <c r="S96" s="419"/>
      <c r="T96" s="413"/>
      <c r="U96" s="413"/>
      <c r="V96" s="262"/>
      <c r="W96" s="263"/>
      <c r="X96" s="6"/>
      <c r="Z96" s="1"/>
      <c r="AA96" s="1"/>
    </row>
    <row r="97" spans="1:27" s="4" customFormat="1" ht="12.75">
      <c r="A97" s="1"/>
      <c r="B97" s="5"/>
      <c r="C97" s="182" t="s">
        <v>337</v>
      </c>
      <c r="D97" s="6">
        <f t="shared" si="7"/>
        <v>0</v>
      </c>
      <c r="E97" s="6"/>
      <c r="F97" s="6">
        <f t="shared" si="8"/>
        <v>0</v>
      </c>
      <c r="G97" s="17"/>
      <c r="H97" s="6">
        <f t="shared" si="9"/>
        <v>0</v>
      </c>
      <c r="I97" s="144"/>
      <c r="J97" s="144"/>
      <c r="K97" s="144"/>
      <c r="L97" s="10">
        <f>Main!F30</f>
        <v>0.75</v>
      </c>
      <c r="M97" s="144"/>
      <c r="N97" s="10">
        <f>Main!F40</f>
        <v>0.1</v>
      </c>
      <c r="O97" s="144"/>
      <c r="P97" s="10"/>
      <c r="Q97" s="419"/>
      <c r="R97" s="10"/>
      <c r="S97" s="419"/>
      <c r="T97" s="413"/>
      <c r="U97" s="413"/>
      <c r="V97" s="262"/>
      <c r="W97" s="263"/>
      <c r="X97" s="6"/>
      <c r="Z97" s="1"/>
      <c r="AA97" s="1"/>
    </row>
    <row r="98" spans="1:27" s="4" customFormat="1" ht="12.75">
      <c r="A98" s="1"/>
      <c r="B98" s="5"/>
      <c r="C98" s="182" t="s">
        <v>338</v>
      </c>
      <c r="D98" s="6">
        <f t="shared" si="7"/>
        <v>0</v>
      </c>
      <c r="E98" s="6"/>
      <c r="F98" s="6">
        <f t="shared" si="8"/>
        <v>0</v>
      </c>
      <c r="G98" s="17"/>
      <c r="H98" s="6">
        <f t="shared" si="9"/>
        <v>0</v>
      </c>
      <c r="I98" s="144"/>
      <c r="J98" s="144"/>
      <c r="K98" s="144"/>
      <c r="L98" s="10">
        <f>Main!F31</f>
        <v>0.75</v>
      </c>
      <c r="M98" s="144"/>
      <c r="N98" s="10">
        <f>Main!F41</f>
        <v>0.1</v>
      </c>
      <c r="O98" s="144"/>
      <c r="P98" s="10"/>
      <c r="Q98" s="419"/>
      <c r="R98" s="10"/>
      <c r="S98" s="419"/>
      <c r="T98" s="413"/>
      <c r="U98" s="413"/>
      <c r="V98" s="262"/>
      <c r="W98" s="263"/>
      <c r="X98" s="6"/>
      <c r="Z98" s="1"/>
      <c r="AA98" s="1"/>
    </row>
    <row r="99" spans="1:27" s="4" customFormat="1" ht="12.75">
      <c r="A99" s="1"/>
      <c r="B99" s="5"/>
      <c r="C99" s="182" t="s">
        <v>377</v>
      </c>
      <c r="D99" s="6">
        <f t="shared" si="7"/>
        <v>0</v>
      </c>
      <c r="E99" s="6"/>
      <c r="F99" s="6">
        <f t="shared" si="8"/>
        <v>0</v>
      </c>
      <c r="G99" s="17"/>
      <c r="H99" s="6">
        <f>D99+F99</f>
        <v>0</v>
      </c>
      <c r="I99" s="406"/>
      <c r="J99" s="406"/>
      <c r="K99" s="406"/>
      <c r="L99" s="10">
        <f>Main!F32</f>
        <v>0.75</v>
      </c>
      <c r="M99" s="406"/>
      <c r="N99" s="10">
        <f>Main!F42</f>
        <v>0.1</v>
      </c>
      <c r="O99" s="406"/>
      <c r="P99" s="10"/>
      <c r="Q99" s="419"/>
      <c r="R99" s="10"/>
      <c r="S99" s="419"/>
      <c r="T99" s="413"/>
      <c r="U99" s="413"/>
      <c r="V99" s="262"/>
      <c r="W99" s="263"/>
      <c r="X99" s="6"/>
      <c r="Z99" s="1"/>
      <c r="AA99" s="1"/>
    </row>
    <row r="100" spans="1:27" s="4" customFormat="1" ht="12.75">
      <c r="A100" s="1"/>
      <c r="B100" s="5"/>
      <c r="C100" s="182" t="s">
        <v>334</v>
      </c>
      <c r="D100" s="6">
        <f t="shared" si="7"/>
        <v>0</v>
      </c>
      <c r="E100" s="6"/>
      <c r="F100" s="6">
        <f t="shared" si="8"/>
        <v>0</v>
      </c>
      <c r="G100" s="17"/>
      <c r="H100" s="6">
        <f t="shared" si="9"/>
        <v>0</v>
      </c>
      <c r="I100" s="381"/>
      <c r="J100" s="381"/>
      <c r="K100" s="381"/>
      <c r="L100" s="10">
        <f>Main!F33</f>
        <v>0.75</v>
      </c>
      <c r="M100" s="381"/>
      <c r="N100" s="10">
        <f>Main!F43</f>
        <v>0.1</v>
      </c>
      <c r="O100" s="381"/>
      <c r="P100" s="10"/>
      <c r="Q100" s="419"/>
      <c r="R100" s="10"/>
      <c r="S100" s="419"/>
      <c r="T100" s="413"/>
      <c r="U100" s="413"/>
      <c r="V100" s="262"/>
      <c r="W100" s="263"/>
      <c r="X100" s="6"/>
      <c r="Z100" s="1"/>
      <c r="AA100" s="1"/>
    </row>
    <row r="101" spans="1:27" s="4" customFormat="1" ht="12.75">
      <c r="A101" s="1"/>
      <c r="B101" s="5"/>
      <c r="C101" s="182" t="s">
        <v>335</v>
      </c>
      <c r="D101" s="6">
        <f t="shared" si="7"/>
        <v>0</v>
      </c>
      <c r="E101" s="6"/>
      <c r="F101" s="6">
        <f t="shared" si="8"/>
        <v>0</v>
      </c>
      <c r="G101" s="17"/>
      <c r="H101" s="6">
        <f t="shared" si="9"/>
        <v>0</v>
      </c>
      <c r="I101" s="381"/>
      <c r="J101" s="381"/>
      <c r="K101" s="381"/>
      <c r="L101" s="10">
        <f>Main!F34</f>
        <v>0.75</v>
      </c>
      <c r="M101" s="381"/>
      <c r="N101" s="10">
        <f>Main!F44</f>
        <v>0.1</v>
      </c>
      <c r="O101" s="381"/>
      <c r="P101" s="10"/>
      <c r="Q101" s="419"/>
      <c r="R101" s="10"/>
      <c r="S101" s="419"/>
      <c r="T101" s="413"/>
      <c r="U101" s="413"/>
      <c r="V101" s="262"/>
      <c r="W101" s="263"/>
      <c r="X101" s="6"/>
      <c r="Z101" s="1"/>
      <c r="AA101" s="1"/>
    </row>
    <row r="102" spans="1:27" s="4" customFormat="1" ht="12.75">
      <c r="A102" s="1"/>
      <c r="B102" s="5"/>
      <c r="C102" s="182" t="s">
        <v>339</v>
      </c>
      <c r="D102" s="6">
        <f t="shared" si="7"/>
        <v>0</v>
      </c>
      <c r="E102" s="6"/>
      <c r="F102" s="6">
        <f t="shared" si="8"/>
        <v>0</v>
      </c>
      <c r="G102" s="17"/>
      <c r="H102" s="6">
        <f t="shared" si="9"/>
        <v>0</v>
      </c>
      <c r="I102" s="144"/>
      <c r="J102" s="144"/>
      <c r="K102" s="144"/>
      <c r="L102" s="10">
        <f>Main!F35</f>
        <v>0.75</v>
      </c>
      <c r="M102" s="144"/>
      <c r="N102" s="10">
        <f>Main!F45</f>
        <v>0.1</v>
      </c>
      <c r="O102" s="144"/>
      <c r="P102" s="10"/>
      <c r="Q102" s="419"/>
      <c r="R102" s="10"/>
      <c r="S102" s="419"/>
      <c r="T102" s="413"/>
      <c r="U102" s="413"/>
      <c r="V102" s="262"/>
      <c r="W102" s="263"/>
      <c r="X102" s="6"/>
      <c r="Z102" s="1"/>
      <c r="AA102" s="1"/>
    </row>
    <row r="103" spans="1:27" s="4" customFormat="1" ht="12.75">
      <c r="A103" s="1"/>
      <c r="B103" s="5"/>
      <c r="C103" s="182" t="s">
        <v>340</v>
      </c>
      <c r="D103" s="6">
        <f t="shared" si="7"/>
        <v>0</v>
      </c>
      <c r="E103" s="6"/>
      <c r="F103" s="6">
        <f t="shared" si="8"/>
        <v>0</v>
      </c>
      <c r="G103" s="17"/>
      <c r="H103" s="6">
        <f t="shared" si="9"/>
        <v>0</v>
      </c>
      <c r="I103" s="144"/>
      <c r="J103" s="144"/>
      <c r="K103" s="144"/>
      <c r="L103" s="10">
        <f>Main!F36</f>
        <v>0.75</v>
      </c>
      <c r="M103" s="144"/>
      <c r="N103" s="10">
        <f>Main!F46</f>
        <v>0.1</v>
      </c>
      <c r="O103" s="144"/>
      <c r="P103" s="10"/>
      <c r="Q103" s="419"/>
      <c r="R103" s="10"/>
      <c r="S103" s="419"/>
      <c r="T103" s="413"/>
      <c r="U103" s="413"/>
      <c r="V103" s="262"/>
      <c r="W103" s="263"/>
      <c r="X103" s="6"/>
      <c r="Z103" s="1"/>
      <c r="AA103" s="1"/>
    </row>
    <row r="104" spans="1:27" s="4" customFormat="1" ht="12.75">
      <c r="A104" s="1"/>
      <c r="B104" s="5"/>
      <c r="C104" s="182"/>
      <c r="D104" s="16"/>
      <c r="E104" s="6"/>
      <c r="F104" s="16"/>
      <c r="G104" s="17"/>
      <c r="H104" s="6"/>
      <c r="I104" s="144"/>
      <c r="J104" s="144"/>
      <c r="K104" s="144"/>
      <c r="L104" s="10"/>
      <c r="M104" s="144"/>
      <c r="N104" s="144"/>
      <c r="O104" s="144"/>
      <c r="P104" s="10"/>
      <c r="Q104" s="419"/>
      <c r="R104" s="419"/>
      <c r="S104" s="419"/>
      <c r="T104" s="413"/>
      <c r="U104" s="413"/>
      <c r="V104" s="262"/>
      <c r="W104" s="263"/>
      <c r="X104" s="6"/>
      <c r="Z104" s="1"/>
      <c r="AA104" s="1"/>
    </row>
    <row r="105" spans="1:27" s="4" customFormat="1" ht="12.75">
      <c r="A105" s="1"/>
      <c r="B105" s="5"/>
      <c r="C105" s="182"/>
      <c r="D105" s="57" t="s">
        <v>345</v>
      </c>
      <c r="E105" s="6"/>
      <c r="F105" s="16"/>
      <c r="G105" s="17"/>
      <c r="H105" s="6"/>
      <c r="I105" s="144"/>
      <c r="J105" s="144"/>
      <c r="K105" s="144"/>
      <c r="L105" s="10"/>
      <c r="M105" s="144"/>
      <c r="N105" s="144"/>
      <c r="O105" s="144"/>
      <c r="P105" s="10"/>
      <c r="Q105" s="419"/>
      <c r="R105" s="419"/>
      <c r="S105" s="419"/>
      <c r="T105" s="413"/>
      <c r="U105" s="413"/>
      <c r="V105" s="262"/>
      <c r="W105" s="263"/>
      <c r="X105" s="6"/>
      <c r="Z105" s="1"/>
      <c r="AA105" s="1"/>
    </row>
    <row r="106" spans="1:27" s="4" customFormat="1" ht="12.75">
      <c r="A106" s="1"/>
      <c r="B106" s="5"/>
      <c r="C106" s="182"/>
      <c r="D106" s="57"/>
      <c r="E106" s="6"/>
      <c r="F106" s="16"/>
      <c r="G106" s="17"/>
      <c r="H106" s="6"/>
      <c r="I106" s="144"/>
      <c r="J106" s="144"/>
      <c r="K106" s="144"/>
      <c r="L106" s="10"/>
      <c r="M106" s="144"/>
      <c r="N106" s="144"/>
      <c r="O106" s="144"/>
      <c r="P106" s="10"/>
      <c r="Q106" s="419"/>
      <c r="R106" s="419"/>
      <c r="S106" s="419"/>
      <c r="T106" s="413"/>
      <c r="U106" s="413"/>
      <c r="V106" s="262"/>
      <c r="W106" s="263"/>
      <c r="X106" s="6"/>
      <c r="Z106" s="1"/>
      <c r="AA106" s="1"/>
    </row>
    <row r="107" spans="1:27" s="4" customFormat="1" ht="12.75" customHeight="1">
      <c r="A107" s="1"/>
      <c r="B107" s="5"/>
      <c r="C107" s="96"/>
      <c r="D107" s="417" t="s">
        <v>11</v>
      </c>
      <c r="E107" s="417"/>
      <c r="F107" s="417"/>
      <c r="G107" s="417"/>
      <c r="H107" s="417"/>
      <c r="I107" s="417"/>
      <c r="J107" s="417"/>
      <c r="K107" s="417"/>
      <c r="L107" s="417"/>
      <c r="M107" s="425"/>
      <c r="N107" s="426"/>
      <c r="O107" s="425"/>
      <c r="P107" s="417"/>
      <c r="Q107" s="425"/>
      <c r="R107" s="426"/>
      <c r="S107" s="16"/>
      <c r="T107" s="16"/>
      <c r="U107" s="16"/>
      <c r="V107" s="271"/>
      <c r="W107" s="53"/>
      <c r="X107" s="6"/>
      <c r="Z107" s="1"/>
      <c r="AA107" s="1"/>
    </row>
    <row r="108" spans="1:27" s="4" customFormat="1" ht="12.75" customHeight="1">
      <c r="A108" s="1"/>
      <c r="B108" s="5"/>
      <c r="C108" s="96"/>
      <c r="D108" s="416" t="s">
        <v>398</v>
      </c>
      <c r="E108" s="416"/>
      <c r="F108" s="416"/>
      <c r="G108" s="415"/>
      <c r="H108" s="415"/>
      <c r="I108" s="415"/>
      <c r="J108" s="415"/>
      <c r="K108" s="422"/>
      <c r="L108" s="422"/>
      <c r="M108" s="423"/>
      <c r="N108" s="424"/>
      <c r="O108" s="423"/>
      <c r="P108"/>
      <c r="Q108"/>
      <c r="R108"/>
      <c r="S108" s="16"/>
      <c r="T108" s="16"/>
      <c r="U108" s="16"/>
      <c r="V108" s="271"/>
      <c r="W108" s="53"/>
      <c r="X108" s="6"/>
      <c r="Z108" s="1"/>
      <c r="AA108" s="1"/>
    </row>
    <row r="109" spans="1:27" s="4" customFormat="1" ht="26.25" customHeight="1">
      <c r="A109" s="1"/>
      <c r="B109" s="5"/>
      <c r="C109" s="96"/>
      <c r="D109" s="454" t="s">
        <v>393</v>
      </c>
      <c r="E109" s="454"/>
      <c r="F109" s="454"/>
      <c r="G109" s="17"/>
      <c r="H109" s="454" t="s">
        <v>394</v>
      </c>
      <c r="I109" s="454"/>
      <c r="J109" s="454"/>
      <c r="K109" s="17"/>
      <c r="L109" s="454" t="s">
        <v>395</v>
      </c>
      <c r="M109" s="454"/>
      <c r="N109" s="454"/>
      <c r="O109" s="16"/>
      <c r="P109"/>
      <c r="Q109"/>
      <c r="R109"/>
      <c r="S109" s="16"/>
      <c r="T109" s="16"/>
      <c r="U109" s="16"/>
      <c r="V109" s="271"/>
      <c r="W109" s="53"/>
      <c r="X109" s="6"/>
      <c r="Z109" s="1"/>
      <c r="AA109" s="1"/>
    </row>
    <row r="110" spans="1:27" s="4" customFormat="1" ht="12.75" customHeight="1">
      <c r="A110" s="1"/>
      <c r="B110" s="5"/>
      <c r="C110" s="96"/>
      <c r="D110" s="284" t="s">
        <v>0</v>
      </c>
      <c r="E110" s="16"/>
      <c r="F110" s="284" t="s">
        <v>1</v>
      </c>
      <c r="G110" s="16"/>
      <c r="H110" s="284" t="s">
        <v>0</v>
      </c>
      <c r="I110" s="16"/>
      <c r="J110" s="284" t="s">
        <v>1</v>
      </c>
      <c r="K110" s="17"/>
      <c r="L110" s="284" t="s">
        <v>0</v>
      </c>
      <c r="M110" s="16"/>
      <c r="N110" s="284" t="s">
        <v>1</v>
      </c>
      <c r="O110" s="16"/>
      <c r="P110" s="394" t="s">
        <v>370</v>
      </c>
      <c r="Q110" s="16"/>
      <c r="R110"/>
      <c r="S110" s="16"/>
      <c r="V110" s="271"/>
      <c r="W110" s="53"/>
      <c r="X110" s="6"/>
      <c r="Z110" s="1"/>
      <c r="AA110" s="1"/>
    </row>
    <row r="111" spans="1:27" s="4" customFormat="1" ht="12.75" customHeight="1">
      <c r="A111" s="1"/>
      <c r="B111" s="5"/>
      <c r="C111" s="182" t="s">
        <v>336</v>
      </c>
      <c r="D111" s="433">
        <v>69</v>
      </c>
      <c r="E111" s="428"/>
      <c r="F111" s="433">
        <v>106.3</v>
      </c>
      <c r="G111" s="428"/>
      <c r="H111" s="433">
        <v>160</v>
      </c>
      <c r="I111" s="428"/>
      <c r="J111" s="433">
        <v>250</v>
      </c>
      <c r="K111" s="429"/>
      <c r="L111" s="433">
        <v>195</v>
      </c>
      <c r="M111" s="428"/>
      <c r="N111" s="433">
        <v>300</v>
      </c>
      <c r="O111" s="16"/>
      <c r="P111" s="270" t="s">
        <v>153</v>
      </c>
      <c r="Q111" s="386" t="str">
        <f>Main!$C$99</f>
        <v>Linux/Unix</v>
      </c>
      <c r="R111"/>
      <c r="S111" s="16"/>
      <c r="V111" s="271"/>
      <c r="W111" s="53"/>
      <c r="X111" s="6"/>
      <c r="Z111" s="1"/>
      <c r="AA111" s="1"/>
    </row>
    <row r="112" spans="1:27" s="4" customFormat="1" ht="12.75" customHeight="1">
      <c r="A112" s="1"/>
      <c r="B112" s="5"/>
      <c r="C112" s="182" t="s">
        <v>337</v>
      </c>
      <c r="D112" s="433">
        <v>276</v>
      </c>
      <c r="E112" s="428"/>
      <c r="F112" s="433">
        <v>425.2</v>
      </c>
      <c r="G112" s="428"/>
      <c r="H112" s="433">
        <v>640</v>
      </c>
      <c r="I112" s="428"/>
      <c r="J112" s="433">
        <v>1000</v>
      </c>
      <c r="K112" s="429"/>
      <c r="L112" s="433">
        <v>780</v>
      </c>
      <c r="M112" s="428"/>
      <c r="N112" s="433">
        <v>1200</v>
      </c>
      <c r="O112" s="16"/>
      <c r="P112" s="407" t="s">
        <v>378</v>
      </c>
      <c r="Q112" s="16"/>
      <c r="R112"/>
      <c r="S112" s="16"/>
      <c r="V112" s="271"/>
      <c r="W112" s="53"/>
      <c r="X112" s="6"/>
      <c r="Z112" s="1"/>
      <c r="AA112" s="1"/>
    </row>
    <row r="113" spans="1:27" s="4" customFormat="1" ht="12.75" customHeight="1">
      <c r="A113" s="1"/>
      <c r="B113" s="5"/>
      <c r="C113" s="182" t="s">
        <v>338</v>
      </c>
      <c r="D113" s="433">
        <v>552</v>
      </c>
      <c r="E113" s="428"/>
      <c r="F113" s="433">
        <v>850.4</v>
      </c>
      <c r="G113" s="428"/>
      <c r="H113" s="433">
        <v>1280</v>
      </c>
      <c r="I113" s="428"/>
      <c r="J113" s="433">
        <v>2000</v>
      </c>
      <c r="K113" s="429"/>
      <c r="L113" s="433">
        <v>1560</v>
      </c>
      <c r="M113" s="428"/>
      <c r="N113" s="433">
        <v>2400</v>
      </c>
      <c r="O113" s="16"/>
      <c r="P113"/>
      <c r="Q113"/>
      <c r="R113"/>
      <c r="S113" s="16"/>
      <c r="T113" s="16"/>
      <c r="U113" s="16"/>
      <c r="V113" s="271"/>
      <c r="W113" s="53"/>
      <c r="X113" s="6"/>
      <c r="Z113" s="1"/>
      <c r="AA113" s="1"/>
    </row>
    <row r="114" spans="1:27" s="4" customFormat="1" ht="12.75" customHeight="1">
      <c r="A114" s="1"/>
      <c r="B114" s="5"/>
      <c r="C114" s="182" t="s">
        <v>377</v>
      </c>
      <c r="D114" s="433">
        <v>353</v>
      </c>
      <c r="E114" s="428"/>
      <c r="F114" s="433">
        <v>548</v>
      </c>
      <c r="G114" s="428"/>
      <c r="H114" s="433">
        <v>850</v>
      </c>
      <c r="I114" s="428"/>
      <c r="J114" s="433">
        <v>1283</v>
      </c>
      <c r="K114" s="429"/>
      <c r="L114" s="433">
        <v>1030</v>
      </c>
      <c r="M114" s="428"/>
      <c r="N114" s="433">
        <v>1550</v>
      </c>
      <c r="O114" s="16"/>
      <c r="P114"/>
      <c r="Q114"/>
      <c r="R114"/>
      <c r="S114" s="16"/>
      <c r="T114" s="16"/>
      <c r="U114" s="16"/>
      <c r="V114" s="271"/>
      <c r="W114" s="53"/>
      <c r="X114" s="6"/>
      <c r="Z114" s="1"/>
      <c r="AA114" s="1"/>
    </row>
    <row r="115" spans="1:27" s="4" customFormat="1" ht="12.75" customHeight="1">
      <c r="A115" s="1"/>
      <c r="B115" s="5"/>
      <c r="C115" s="182" t="s">
        <v>334</v>
      </c>
      <c r="D115" s="433">
        <v>706</v>
      </c>
      <c r="E115" s="428"/>
      <c r="F115" s="433">
        <v>1096</v>
      </c>
      <c r="G115" s="428"/>
      <c r="H115" s="433">
        <v>1700</v>
      </c>
      <c r="I115" s="428"/>
      <c r="J115" s="433">
        <v>2566</v>
      </c>
      <c r="K115" s="429"/>
      <c r="L115" s="433">
        <v>2060</v>
      </c>
      <c r="M115" s="428"/>
      <c r="N115" s="433">
        <v>3100</v>
      </c>
      <c r="O115" s="16"/>
      <c r="P115"/>
      <c r="Q115"/>
      <c r="R115"/>
      <c r="S115" s="16"/>
      <c r="T115" s="16"/>
      <c r="U115" s="16"/>
      <c r="V115" s="271"/>
      <c r="W115" s="53"/>
      <c r="X115" s="6"/>
      <c r="Z115" s="1"/>
      <c r="AA115" s="1"/>
    </row>
    <row r="116" spans="1:27" s="4" customFormat="1" ht="12.75" customHeight="1">
      <c r="A116" s="1"/>
      <c r="B116" s="5"/>
      <c r="C116" s="182" t="s">
        <v>335</v>
      </c>
      <c r="D116" s="433">
        <v>1412</v>
      </c>
      <c r="E116" s="428"/>
      <c r="F116" s="433">
        <v>2192</v>
      </c>
      <c r="G116" s="428"/>
      <c r="H116" s="433">
        <v>3400</v>
      </c>
      <c r="I116" s="428"/>
      <c r="J116" s="433">
        <v>5132</v>
      </c>
      <c r="K116" s="429"/>
      <c r="L116" s="433">
        <v>4120</v>
      </c>
      <c r="M116" s="428"/>
      <c r="N116" s="433">
        <v>6200</v>
      </c>
      <c r="O116" s="16"/>
      <c r="P116"/>
      <c r="Q116"/>
      <c r="R116"/>
      <c r="S116" s="16"/>
      <c r="T116" s="16"/>
      <c r="U116" s="16"/>
      <c r="V116" s="271"/>
      <c r="W116" s="53"/>
      <c r="X116" s="6"/>
      <c r="Z116" s="1"/>
      <c r="AA116" s="1"/>
    </row>
    <row r="117" spans="1:27" s="4" customFormat="1" ht="12.75" customHeight="1">
      <c r="A117" s="1"/>
      <c r="B117" s="5"/>
      <c r="C117" s="182" t="s">
        <v>339</v>
      </c>
      <c r="D117" s="433">
        <v>178</v>
      </c>
      <c r="E117" s="428"/>
      <c r="F117" s="433">
        <v>273</v>
      </c>
      <c r="G117" s="428"/>
      <c r="H117" s="433">
        <v>415</v>
      </c>
      <c r="I117" s="428"/>
      <c r="J117" s="433">
        <v>638</v>
      </c>
      <c r="K117" s="429"/>
      <c r="L117" s="433">
        <v>500</v>
      </c>
      <c r="M117" s="428"/>
      <c r="N117" s="433">
        <v>775</v>
      </c>
      <c r="O117" s="16"/>
      <c r="P117"/>
      <c r="Q117"/>
      <c r="R117"/>
      <c r="S117" s="16"/>
      <c r="T117" s="16"/>
      <c r="U117" s="16"/>
      <c r="V117" s="271"/>
      <c r="W117" s="53"/>
      <c r="X117" s="6"/>
      <c r="Z117" s="1"/>
      <c r="AA117" s="1"/>
    </row>
    <row r="118" spans="1:27" s="4" customFormat="1" ht="12.75" customHeight="1">
      <c r="A118" s="1"/>
      <c r="B118" s="5"/>
      <c r="C118" s="182" t="s">
        <v>340</v>
      </c>
      <c r="D118" s="433">
        <v>712</v>
      </c>
      <c r="E118" s="428"/>
      <c r="F118" s="433">
        <v>1092</v>
      </c>
      <c r="G118" s="428"/>
      <c r="H118" s="433">
        <v>1660</v>
      </c>
      <c r="I118" s="428"/>
      <c r="J118" s="433">
        <v>2552</v>
      </c>
      <c r="K118" s="429"/>
      <c r="L118" s="433">
        <v>2000</v>
      </c>
      <c r="M118" s="428"/>
      <c r="N118" s="433">
        <v>3100</v>
      </c>
      <c r="O118" s="16"/>
      <c r="P118"/>
      <c r="Q118"/>
      <c r="R118"/>
      <c r="S118" s="16"/>
      <c r="T118" s="16"/>
      <c r="U118" s="16"/>
      <c r="V118" s="271"/>
      <c r="W118" s="53"/>
      <c r="X118" s="6"/>
      <c r="Z118" s="1"/>
      <c r="AA118" s="1"/>
    </row>
    <row r="119" spans="1:27" s="4" customFormat="1" ht="12.75" customHeight="1">
      <c r="A119" s="1"/>
      <c r="B119" s="5"/>
      <c r="C119" s="182"/>
      <c r="D119" s="13"/>
      <c r="E119" s="16"/>
      <c r="F119" s="13"/>
      <c r="G119" s="16"/>
      <c r="H119" s="12"/>
      <c r="I119" s="16"/>
      <c r="J119" s="12"/>
      <c r="K119" s="17"/>
      <c r="L119" s="13"/>
      <c r="M119" s="16"/>
      <c r="N119" s="13"/>
      <c r="O119" s="16"/>
      <c r="P119"/>
      <c r="Q119"/>
      <c r="R119"/>
      <c r="S119" s="16"/>
      <c r="T119" s="16"/>
      <c r="U119" s="16"/>
      <c r="V119" s="271"/>
      <c r="W119" s="53"/>
      <c r="X119" s="6"/>
      <c r="Z119" s="1"/>
      <c r="AA119" s="1"/>
    </row>
    <row r="120" spans="1:27" s="4" customFormat="1" ht="12.75" customHeight="1">
      <c r="A120" s="1"/>
      <c r="B120" s="5"/>
      <c r="C120" s="182"/>
      <c r="D120" s="414" t="s">
        <v>396</v>
      </c>
      <c r="E120" s="415"/>
      <c r="F120" s="415"/>
      <c r="G120" s="415"/>
      <c r="H120" s="415"/>
      <c r="I120" s="415"/>
      <c r="J120" s="415"/>
      <c r="K120" s="415"/>
      <c r="L120" s="415"/>
      <c r="M120" s="415"/>
      <c r="N120" s="415"/>
      <c r="O120" s="423"/>
      <c r="P120"/>
      <c r="Q120"/>
      <c r="R120"/>
      <c r="S120" s="16"/>
      <c r="T120" s="16"/>
      <c r="U120" s="16"/>
      <c r="V120" s="271"/>
      <c r="W120" s="53"/>
      <c r="X120" s="6"/>
      <c r="Z120" s="1"/>
      <c r="AA120" s="1"/>
    </row>
    <row r="121" spans="1:31" s="4" customFormat="1" ht="15">
      <c r="A121" s="1"/>
      <c r="B121" s="5"/>
      <c r="C121" s="182"/>
      <c r="D121" s="454" t="s">
        <v>393</v>
      </c>
      <c r="E121" s="454"/>
      <c r="F121" s="454"/>
      <c r="G121" s="267"/>
      <c r="H121" s="454" t="s">
        <v>394</v>
      </c>
      <c r="I121" s="454"/>
      <c r="J121" s="454"/>
      <c r="K121" s="17"/>
      <c r="L121" s="454" t="s">
        <v>395</v>
      </c>
      <c r="M121" s="454"/>
      <c r="N121" s="454"/>
      <c r="O121" s="16"/>
      <c r="P121"/>
      <c r="Q121"/>
      <c r="R121"/>
      <c r="U121" s="17"/>
      <c r="V121" s="271"/>
      <c r="W121" s="53"/>
      <c r="X121" s="16"/>
      <c r="Y121" s="16"/>
      <c r="Z121"/>
      <c r="AA121"/>
      <c r="AB121" s="6"/>
      <c r="AD121" s="1"/>
      <c r="AE121" s="1"/>
    </row>
    <row r="122" spans="1:31" s="4" customFormat="1" ht="12.75" customHeight="1">
      <c r="A122" s="1"/>
      <c r="B122" s="5"/>
      <c r="C122" s="182"/>
      <c r="D122" s="284" t="s">
        <v>0</v>
      </c>
      <c r="E122" s="16"/>
      <c r="F122" s="284" t="s">
        <v>1</v>
      </c>
      <c r="G122" s="89"/>
      <c r="H122" s="284" t="s">
        <v>0</v>
      </c>
      <c r="I122" s="16"/>
      <c r="J122" s="284" t="s">
        <v>1</v>
      </c>
      <c r="K122" s="17"/>
      <c r="L122" s="284" t="s">
        <v>0</v>
      </c>
      <c r="M122" s="16"/>
      <c r="N122" s="284" t="s">
        <v>1</v>
      </c>
      <c r="O122" s="16"/>
      <c r="P122"/>
      <c r="Q122"/>
      <c r="R122"/>
      <c r="U122" s="17"/>
      <c r="V122" s="107"/>
      <c r="W122" s="53"/>
      <c r="X122" s="16"/>
      <c r="Y122" s="16"/>
      <c r="Z122"/>
      <c r="AA122"/>
      <c r="AB122" s="6"/>
      <c r="AD122" s="1"/>
      <c r="AE122" s="1"/>
    </row>
    <row r="123" spans="1:31" s="4" customFormat="1" ht="12.75" customHeight="1">
      <c r="A123" s="1"/>
      <c r="B123" s="5"/>
      <c r="C123" s="182" t="s">
        <v>336</v>
      </c>
      <c r="D123" s="435">
        <v>0.039</v>
      </c>
      <c r="E123" s="436"/>
      <c r="F123" s="435">
        <v>0.031</v>
      </c>
      <c r="G123" s="437"/>
      <c r="H123" s="435">
        <v>0.024</v>
      </c>
      <c r="I123" s="436"/>
      <c r="J123" s="435">
        <v>0.019</v>
      </c>
      <c r="K123" s="438"/>
      <c r="L123" s="435">
        <v>0.016</v>
      </c>
      <c r="M123" s="436"/>
      <c r="N123" s="435">
        <v>0.013</v>
      </c>
      <c r="O123" s="16"/>
      <c r="P123"/>
      <c r="Q123"/>
      <c r="R123"/>
      <c r="U123" s="394"/>
      <c r="V123" s="107"/>
      <c r="W123" s="53"/>
      <c r="X123" s="16"/>
      <c r="Y123" s="16"/>
      <c r="Z123"/>
      <c r="AA123"/>
      <c r="AB123" s="6"/>
      <c r="AD123" s="1"/>
      <c r="AE123" s="1"/>
    </row>
    <row r="124" spans="1:31" s="4" customFormat="1" ht="12.75" customHeight="1">
      <c r="A124" s="1"/>
      <c r="B124" s="5"/>
      <c r="C124" s="182" t="s">
        <v>337</v>
      </c>
      <c r="D124" s="435">
        <v>0.156</v>
      </c>
      <c r="E124" s="436"/>
      <c r="F124" s="435">
        <v>0.124</v>
      </c>
      <c r="G124" s="437"/>
      <c r="H124" s="435">
        <v>0.096</v>
      </c>
      <c r="I124" s="436"/>
      <c r="J124" s="435">
        <v>0.076</v>
      </c>
      <c r="K124" s="438"/>
      <c r="L124" s="435">
        <v>0.064</v>
      </c>
      <c r="M124" s="436"/>
      <c r="N124" s="435">
        <v>0.052</v>
      </c>
      <c r="O124" s="16"/>
      <c r="P124"/>
      <c r="Q124"/>
      <c r="R124"/>
      <c r="V124" s="107"/>
      <c r="W124" s="53"/>
      <c r="X124" s="16"/>
      <c r="Y124" s="16"/>
      <c r="Z124"/>
      <c r="AA124"/>
      <c r="AB124" s="6"/>
      <c r="AD124" s="1"/>
      <c r="AE124" s="1"/>
    </row>
    <row r="125" spans="1:31" s="4" customFormat="1" ht="12.75" customHeight="1">
      <c r="A125" s="1"/>
      <c r="B125" s="5"/>
      <c r="C125" s="182" t="s">
        <v>338</v>
      </c>
      <c r="D125" s="435">
        <v>0.312</v>
      </c>
      <c r="E125" s="436"/>
      <c r="F125" s="435">
        <v>0.248</v>
      </c>
      <c r="G125" s="437"/>
      <c r="H125" s="435">
        <v>0.192</v>
      </c>
      <c r="I125" s="436"/>
      <c r="J125" s="435">
        <v>0.152</v>
      </c>
      <c r="K125" s="438"/>
      <c r="L125" s="435">
        <v>0.128</v>
      </c>
      <c r="M125" s="436"/>
      <c r="N125" s="435">
        <v>0.104</v>
      </c>
      <c r="O125" s="16"/>
      <c r="P125"/>
      <c r="Q125"/>
      <c r="R125"/>
      <c r="U125" s="16"/>
      <c r="V125" s="107"/>
      <c r="W125" s="53"/>
      <c r="X125" s="16"/>
      <c r="Y125" s="16"/>
      <c r="Z125"/>
      <c r="AA125"/>
      <c r="AB125" s="6"/>
      <c r="AD125" s="1"/>
      <c r="AE125" s="1"/>
    </row>
    <row r="126" spans="1:31" s="4" customFormat="1" ht="12.75" customHeight="1">
      <c r="A126" s="1"/>
      <c r="B126" s="5"/>
      <c r="C126" s="182" t="s">
        <v>377</v>
      </c>
      <c r="D126" s="435">
        <v>0.22</v>
      </c>
      <c r="E126" s="436"/>
      <c r="F126" s="435">
        <v>0.175</v>
      </c>
      <c r="G126" s="437"/>
      <c r="H126" s="435">
        <v>0.133</v>
      </c>
      <c r="I126" s="436"/>
      <c r="J126" s="435">
        <v>0.105</v>
      </c>
      <c r="K126" s="438"/>
      <c r="L126" s="435">
        <v>0.088</v>
      </c>
      <c r="M126" s="436"/>
      <c r="N126" s="435">
        <v>0.07</v>
      </c>
      <c r="O126" s="16"/>
      <c r="P126"/>
      <c r="Q126"/>
      <c r="R126"/>
      <c r="V126" s="107"/>
      <c r="W126" s="53"/>
      <c r="X126" s="16"/>
      <c r="Y126" s="16"/>
      <c r="Z126"/>
      <c r="AA126"/>
      <c r="AB126" s="6"/>
      <c r="AD126" s="1"/>
      <c r="AE126" s="1"/>
    </row>
    <row r="127" spans="1:31" s="4" customFormat="1" ht="12.75" customHeight="1">
      <c r="A127" s="1"/>
      <c r="B127" s="5"/>
      <c r="C127" s="182" t="s">
        <v>334</v>
      </c>
      <c r="D127" s="435">
        <v>0.44</v>
      </c>
      <c r="E127" s="436"/>
      <c r="F127" s="435">
        <v>0.35</v>
      </c>
      <c r="G127" s="437"/>
      <c r="H127" s="435">
        <v>0.266</v>
      </c>
      <c r="I127" s="436"/>
      <c r="J127" s="435">
        <v>0.21</v>
      </c>
      <c r="K127" s="438"/>
      <c r="L127" s="435">
        <v>0.176</v>
      </c>
      <c r="M127" s="436"/>
      <c r="N127" s="435">
        <v>0.14</v>
      </c>
      <c r="O127" s="16"/>
      <c r="P127"/>
      <c r="Q127"/>
      <c r="R127"/>
      <c r="U127" s="17"/>
      <c r="V127" s="107"/>
      <c r="W127" s="53"/>
      <c r="X127" s="16"/>
      <c r="Y127" s="16"/>
      <c r="Z127"/>
      <c r="AA127"/>
      <c r="AB127" s="6"/>
      <c r="AD127" s="1"/>
      <c r="AE127" s="1"/>
    </row>
    <row r="128" spans="1:31" s="4" customFormat="1" ht="12.75" customHeight="1">
      <c r="A128" s="1"/>
      <c r="B128" s="5"/>
      <c r="C128" s="182" t="s">
        <v>335</v>
      </c>
      <c r="D128" s="435">
        <v>0.88</v>
      </c>
      <c r="E128" s="436"/>
      <c r="F128" s="435">
        <v>0.7</v>
      </c>
      <c r="G128" s="437"/>
      <c r="H128" s="435">
        <v>0.532</v>
      </c>
      <c r="I128" s="436"/>
      <c r="J128" s="435">
        <v>0.42</v>
      </c>
      <c r="K128" s="438"/>
      <c r="L128" s="435">
        <v>0.352</v>
      </c>
      <c r="M128" s="436"/>
      <c r="N128" s="435">
        <v>0.28</v>
      </c>
      <c r="O128" s="16"/>
      <c r="P128"/>
      <c r="Q128"/>
      <c r="R128"/>
      <c r="U128" s="17"/>
      <c r="V128" s="107"/>
      <c r="W128" s="53"/>
      <c r="X128" s="16"/>
      <c r="Y128" s="16"/>
      <c r="Z128"/>
      <c r="AA128"/>
      <c r="AB128" s="6"/>
      <c r="AD128" s="1"/>
      <c r="AE128" s="1"/>
    </row>
    <row r="129" spans="1:31" s="4" customFormat="1" ht="12.75" customHeight="1">
      <c r="A129" s="1"/>
      <c r="B129" s="5"/>
      <c r="C129" s="182" t="s">
        <v>339</v>
      </c>
      <c r="D129" s="435">
        <v>0.1</v>
      </c>
      <c r="E129" s="436"/>
      <c r="F129" s="435">
        <v>0.088</v>
      </c>
      <c r="G129" s="437"/>
      <c r="H129" s="435">
        <v>0.06</v>
      </c>
      <c r="I129" s="436"/>
      <c r="J129" s="435">
        <v>0.053</v>
      </c>
      <c r="K129" s="438"/>
      <c r="L129" s="435">
        <v>0.04</v>
      </c>
      <c r="M129" s="436"/>
      <c r="N129" s="435">
        <v>0.035</v>
      </c>
      <c r="O129" s="16"/>
      <c r="P129"/>
      <c r="Q129"/>
      <c r="R129"/>
      <c r="U129" s="17"/>
      <c r="V129" s="107"/>
      <c r="W129" s="53"/>
      <c r="X129" s="16"/>
      <c r="Y129" s="16"/>
      <c r="Z129"/>
      <c r="AA129"/>
      <c r="AB129" s="6"/>
      <c r="AD129" s="1"/>
      <c r="AE129" s="1"/>
    </row>
    <row r="130" spans="1:31" s="4" customFormat="1" ht="12.75" customHeight="1">
      <c r="A130" s="1"/>
      <c r="B130" s="5"/>
      <c r="C130" s="182" t="s">
        <v>340</v>
      </c>
      <c r="D130" s="435">
        <v>0.4</v>
      </c>
      <c r="E130" s="436"/>
      <c r="F130" s="435">
        <v>0.352</v>
      </c>
      <c r="G130" s="437"/>
      <c r="H130" s="435">
        <v>0.24</v>
      </c>
      <c r="I130" s="436"/>
      <c r="J130" s="435">
        <v>0.212</v>
      </c>
      <c r="K130" s="438"/>
      <c r="L130" s="435">
        <v>0.16</v>
      </c>
      <c r="M130" s="436"/>
      <c r="N130" s="435">
        <v>0.14</v>
      </c>
      <c r="O130" s="16"/>
      <c r="P130"/>
      <c r="Q130"/>
      <c r="R130"/>
      <c r="U130" s="17"/>
      <c r="V130" s="107"/>
      <c r="W130" s="53"/>
      <c r="X130" s="16"/>
      <c r="Y130" s="16"/>
      <c r="Z130"/>
      <c r="AA130"/>
      <c r="AB130" s="6"/>
      <c r="AD130" s="1"/>
      <c r="AE130" s="1"/>
    </row>
    <row r="131" spans="1:27" s="4" customFormat="1" ht="12.75" customHeight="1">
      <c r="A131" s="1"/>
      <c r="B131" s="5"/>
      <c r="C131" s="182"/>
      <c r="D131" s="13"/>
      <c r="E131" s="16"/>
      <c r="F131" s="13"/>
      <c r="G131" s="16"/>
      <c r="H131" s="12"/>
      <c r="I131" s="16"/>
      <c r="J131" s="12"/>
      <c r="K131" s="17"/>
      <c r="L131" s="13"/>
      <c r="M131" s="16"/>
      <c r="N131" s="13"/>
      <c r="O131" s="16"/>
      <c r="P131"/>
      <c r="Q131"/>
      <c r="R131"/>
      <c r="S131" s="16"/>
      <c r="T131" s="16"/>
      <c r="U131" s="16"/>
      <c r="V131" s="271"/>
      <c r="W131" s="53"/>
      <c r="X131" s="6"/>
      <c r="Z131" s="1"/>
      <c r="AA131" s="1"/>
    </row>
    <row r="132" spans="1:27" s="4" customFormat="1" ht="12.75" customHeight="1">
      <c r="A132" s="1"/>
      <c r="B132" s="5"/>
      <c r="C132" s="96"/>
      <c r="D132" s="416" t="s">
        <v>399</v>
      </c>
      <c r="E132" s="416"/>
      <c r="F132" s="416"/>
      <c r="G132" s="415"/>
      <c r="H132" s="415"/>
      <c r="I132" s="415"/>
      <c r="J132" s="415"/>
      <c r="K132" s="422"/>
      <c r="L132" s="422"/>
      <c r="M132" s="423"/>
      <c r="N132" s="424"/>
      <c r="O132" s="423"/>
      <c r="P132"/>
      <c r="Q132"/>
      <c r="R132"/>
      <c r="S132" s="16"/>
      <c r="T132" s="16"/>
      <c r="U132" s="16"/>
      <c r="V132" s="271"/>
      <c r="W132" s="53"/>
      <c r="X132" s="6"/>
      <c r="Z132" s="1"/>
      <c r="AA132" s="1"/>
    </row>
    <row r="133" spans="1:27" s="4" customFormat="1" ht="26.25" customHeight="1">
      <c r="A133" s="1"/>
      <c r="B133" s="5"/>
      <c r="C133" s="96"/>
      <c r="D133" s="454" t="s">
        <v>393</v>
      </c>
      <c r="E133" s="454"/>
      <c r="F133" s="454"/>
      <c r="G133" s="17"/>
      <c r="H133" s="454" t="s">
        <v>394</v>
      </c>
      <c r="I133" s="454"/>
      <c r="J133" s="454"/>
      <c r="K133" s="17"/>
      <c r="L133" s="454" t="s">
        <v>395</v>
      </c>
      <c r="M133" s="454"/>
      <c r="N133" s="454"/>
      <c r="O133" s="16"/>
      <c r="P133"/>
      <c r="Q133"/>
      <c r="R133"/>
      <c r="S133" s="16"/>
      <c r="T133" s="16"/>
      <c r="U133" s="16"/>
      <c r="V133" s="271"/>
      <c r="W133" s="53"/>
      <c r="X133" s="6"/>
      <c r="Z133" s="1"/>
      <c r="AA133" s="1"/>
    </row>
    <row r="134" spans="1:27" s="4" customFormat="1" ht="12.75" customHeight="1">
      <c r="A134" s="1"/>
      <c r="B134" s="5"/>
      <c r="C134" s="96"/>
      <c r="D134" s="284" t="s">
        <v>0</v>
      </c>
      <c r="E134" s="16"/>
      <c r="F134" s="284" t="s">
        <v>1</v>
      </c>
      <c r="G134" s="16"/>
      <c r="H134" s="284" t="s">
        <v>0</v>
      </c>
      <c r="I134" s="16"/>
      <c r="J134" s="284" t="s">
        <v>1</v>
      </c>
      <c r="K134" s="17"/>
      <c r="L134" s="284" t="s">
        <v>0</v>
      </c>
      <c r="M134" s="16"/>
      <c r="N134" s="284" t="s">
        <v>1</v>
      </c>
      <c r="O134" s="16"/>
      <c r="P134"/>
      <c r="Q134"/>
      <c r="R134"/>
      <c r="S134" s="16"/>
      <c r="T134" s="16"/>
      <c r="U134" s="16"/>
      <c r="V134" s="271"/>
      <c r="W134" s="53"/>
      <c r="X134" s="6"/>
      <c r="Z134" s="1"/>
      <c r="AA134" s="1"/>
    </row>
    <row r="135" spans="1:27" s="4" customFormat="1" ht="12.75" customHeight="1">
      <c r="A135" s="1"/>
      <c r="B135" s="5"/>
      <c r="C135" s="182" t="s">
        <v>336</v>
      </c>
      <c r="D135" s="433">
        <v>69</v>
      </c>
      <c r="E135" s="428"/>
      <c r="F135" s="433">
        <v>106.3</v>
      </c>
      <c r="G135" s="428"/>
      <c r="H135" s="433">
        <v>160</v>
      </c>
      <c r="I135" s="428"/>
      <c r="J135" s="433">
        <v>250</v>
      </c>
      <c r="K135" s="429"/>
      <c r="L135" s="433">
        <v>195</v>
      </c>
      <c r="M135" s="428"/>
      <c r="N135" s="433">
        <v>300</v>
      </c>
      <c r="O135" s="16"/>
      <c r="P135"/>
      <c r="Q135"/>
      <c r="R135"/>
      <c r="S135" s="16"/>
      <c r="T135" s="16"/>
      <c r="U135" s="16"/>
      <c r="V135" s="271"/>
      <c r="W135" s="53"/>
      <c r="X135" s="6"/>
      <c r="Z135" s="1"/>
      <c r="AA135" s="1"/>
    </row>
    <row r="136" spans="1:27" s="4" customFormat="1" ht="12.75" customHeight="1">
      <c r="A136" s="1"/>
      <c r="B136" s="5"/>
      <c r="C136" s="182" t="s">
        <v>337</v>
      </c>
      <c r="D136" s="433">
        <v>276</v>
      </c>
      <c r="E136" s="428"/>
      <c r="F136" s="433">
        <v>425.2</v>
      </c>
      <c r="G136" s="428"/>
      <c r="H136" s="433">
        <v>640</v>
      </c>
      <c r="I136" s="428"/>
      <c r="J136" s="433">
        <v>1000</v>
      </c>
      <c r="K136" s="429"/>
      <c r="L136" s="433">
        <v>780</v>
      </c>
      <c r="M136" s="428"/>
      <c r="N136" s="433">
        <v>1200</v>
      </c>
      <c r="O136" s="16"/>
      <c r="P136"/>
      <c r="Q136"/>
      <c r="R136"/>
      <c r="S136" s="16"/>
      <c r="T136" s="16"/>
      <c r="U136" s="16"/>
      <c r="V136" s="271"/>
      <c r="W136" s="53"/>
      <c r="X136" s="6"/>
      <c r="Z136" s="1"/>
      <c r="AA136" s="1"/>
    </row>
    <row r="137" spans="1:27" s="4" customFormat="1" ht="12.75" customHeight="1">
      <c r="A137" s="1"/>
      <c r="B137" s="5"/>
      <c r="C137" s="182" t="s">
        <v>338</v>
      </c>
      <c r="D137" s="433">
        <v>552</v>
      </c>
      <c r="E137" s="428"/>
      <c r="F137" s="433">
        <v>850.4</v>
      </c>
      <c r="G137" s="428"/>
      <c r="H137" s="433">
        <v>1280</v>
      </c>
      <c r="I137" s="428"/>
      <c r="J137" s="433">
        <v>2000</v>
      </c>
      <c r="K137" s="429"/>
      <c r="L137" s="433">
        <v>1560</v>
      </c>
      <c r="M137" s="428"/>
      <c r="N137" s="433">
        <v>2400</v>
      </c>
      <c r="O137" s="16"/>
      <c r="P137"/>
      <c r="Q137"/>
      <c r="R137"/>
      <c r="S137" s="16"/>
      <c r="T137" s="16"/>
      <c r="U137" s="16"/>
      <c r="V137" s="271"/>
      <c r="W137" s="53"/>
      <c r="X137" s="6"/>
      <c r="Z137" s="1"/>
      <c r="AA137" s="1"/>
    </row>
    <row r="138" spans="1:27" s="4" customFormat="1" ht="12.75" customHeight="1">
      <c r="A138" s="1"/>
      <c r="B138" s="5"/>
      <c r="C138" s="182" t="s">
        <v>377</v>
      </c>
      <c r="D138" s="433">
        <v>353</v>
      </c>
      <c r="E138" s="428"/>
      <c r="F138" s="433">
        <v>548</v>
      </c>
      <c r="G138" s="428"/>
      <c r="H138" s="433">
        <v>850</v>
      </c>
      <c r="I138" s="428"/>
      <c r="J138" s="433">
        <v>1283</v>
      </c>
      <c r="K138" s="429"/>
      <c r="L138" s="433">
        <v>1030</v>
      </c>
      <c r="M138" s="428"/>
      <c r="N138" s="433">
        <v>1550</v>
      </c>
      <c r="O138" s="16"/>
      <c r="P138"/>
      <c r="Q138"/>
      <c r="R138"/>
      <c r="S138" s="16"/>
      <c r="T138" s="16"/>
      <c r="U138" s="16"/>
      <c r="V138" s="271"/>
      <c r="W138" s="53"/>
      <c r="X138" s="6"/>
      <c r="Z138" s="1"/>
      <c r="AA138" s="1"/>
    </row>
    <row r="139" spans="1:27" s="4" customFormat="1" ht="12.75" customHeight="1">
      <c r="A139" s="1"/>
      <c r="B139" s="5"/>
      <c r="C139" s="182" t="s">
        <v>334</v>
      </c>
      <c r="D139" s="433">
        <v>706</v>
      </c>
      <c r="E139" s="428"/>
      <c r="F139" s="433">
        <v>1096</v>
      </c>
      <c r="G139" s="428"/>
      <c r="H139" s="433">
        <v>1700</v>
      </c>
      <c r="I139" s="428"/>
      <c r="J139" s="433">
        <v>2566</v>
      </c>
      <c r="K139" s="429"/>
      <c r="L139" s="433">
        <v>2060</v>
      </c>
      <c r="M139" s="428"/>
      <c r="N139" s="433">
        <v>3100</v>
      </c>
      <c r="O139" s="16"/>
      <c r="P139"/>
      <c r="Q139"/>
      <c r="R139"/>
      <c r="S139" s="16"/>
      <c r="T139" s="16"/>
      <c r="U139" s="16"/>
      <c r="V139" s="271"/>
      <c r="W139" s="53"/>
      <c r="X139" s="6"/>
      <c r="Z139" s="1"/>
      <c r="AA139" s="1"/>
    </row>
    <row r="140" spans="1:27" s="4" customFormat="1" ht="12.75" customHeight="1">
      <c r="A140" s="1"/>
      <c r="B140" s="5"/>
      <c r="C140" s="182" t="s">
        <v>335</v>
      </c>
      <c r="D140" s="433">
        <v>1412</v>
      </c>
      <c r="E140" s="428"/>
      <c r="F140" s="433">
        <v>2192</v>
      </c>
      <c r="G140" s="428"/>
      <c r="H140" s="433">
        <v>3400</v>
      </c>
      <c r="I140" s="428"/>
      <c r="J140" s="433">
        <v>5132</v>
      </c>
      <c r="K140" s="429"/>
      <c r="L140" s="433">
        <v>4120</v>
      </c>
      <c r="M140" s="428"/>
      <c r="N140" s="433">
        <v>6200</v>
      </c>
      <c r="O140" s="16"/>
      <c r="P140"/>
      <c r="Q140"/>
      <c r="R140"/>
      <c r="S140" s="16"/>
      <c r="T140" s="16"/>
      <c r="U140" s="16"/>
      <c r="V140" s="271"/>
      <c r="W140" s="53"/>
      <c r="X140" s="6"/>
      <c r="Z140" s="1"/>
      <c r="AA140" s="1"/>
    </row>
    <row r="141" spans="1:27" s="4" customFormat="1" ht="12.75" customHeight="1">
      <c r="A141" s="1"/>
      <c r="B141" s="5"/>
      <c r="C141" s="182" t="s">
        <v>339</v>
      </c>
      <c r="D141" s="433">
        <v>178</v>
      </c>
      <c r="E141" s="428"/>
      <c r="F141" s="433">
        <v>273</v>
      </c>
      <c r="G141" s="428"/>
      <c r="H141" s="433">
        <v>415</v>
      </c>
      <c r="I141" s="428"/>
      <c r="J141" s="433">
        <v>638</v>
      </c>
      <c r="K141" s="429"/>
      <c r="L141" s="433">
        <v>500</v>
      </c>
      <c r="M141" s="428"/>
      <c r="N141" s="433">
        <v>775</v>
      </c>
      <c r="O141" s="16"/>
      <c r="P141"/>
      <c r="Q141"/>
      <c r="R141"/>
      <c r="S141" s="16"/>
      <c r="T141" s="16"/>
      <c r="U141" s="16"/>
      <c r="V141" s="271"/>
      <c r="W141" s="53"/>
      <c r="X141" s="6"/>
      <c r="Z141" s="1"/>
      <c r="AA141" s="1"/>
    </row>
    <row r="142" spans="1:27" s="4" customFormat="1" ht="12.75" customHeight="1">
      <c r="A142" s="1"/>
      <c r="B142" s="5"/>
      <c r="C142" s="182" t="s">
        <v>340</v>
      </c>
      <c r="D142" s="433">
        <v>712</v>
      </c>
      <c r="E142" s="428"/>
      <c r="F142" s="433">
        <v>1092</v>
      </c>
      <c r="G142" s="428"/>
      <c r="H142" s="433">
        <v>1660</v>
      </c>
      <c r="I142" s="428"/>
      <c r="J142" s="433">
        <v>2552</v>
      </c>
      <c r="K142" s="429"/>
      <c r="L142" s="433">
        <v>2000</v>
      </c>
      <c r="M142" s="428"/>
      <c r="N142" s="433">
        <v>3100</v>
      </c>
      <c r="O142" s="16"/>
      <c r="P142"/>
      <c r="Q142"/>
      <c r="R142"/>
      <c r="S142" s="16"/>
      <c r="T142" s="16"/>
      <c r="U142" s="16"/>
      <c r="V142" s="271"/>
      <c r="W142" s="53"/>
      <c r="X142" s="6"/>
      <c r="Z142" s="1"/>
      <c r="AA142" s="1"/>
    </row>
    <row r="143" spans="1:27" s="4" customFormat="1" ht="12.75" customHeight="1">
      <c r="A143" s="1"/>
      <c r="B143" s="5"/>
      <c r="C143" s="182"/>
      <c r="D143" s="13"/>
      <c r="E143" s="16"/>
      <c r="F143" s="13"/>
      <c r="G143" s="16"/>
      <c r="H143" s="12"/>
      <c r="I143" s="16"/>
      <c r="J143" s="12"/>
      <c r="K143" s="17"/>
      <c r="L143" s="13"/>
      <c r="M143" s="16"/>
      <c r="N143" s="13"/>
      <c r="O143" s="16"/>
      <c r="P143"/>
      <c r="Q143"/>
      <c r="R143"/>
      <c r="S143" s="16"/>
      <c r="T143" s="16"/>
      <c r="U143" s="16"/>
      <c r="V143" s="271"/>
      <c r="W143" s="53"/>
      <c r="X143" s="6"/>
      <c r="Z143" s="1"/>
      <c r="AA143" s="1"/>
    </row>
    <row r="144" spans="1:27" s="4" customFormat="1" ht="12.75" customHeight="1">
      <c r="A144" s="1"/>
      <c r="B144" s="5"/>
      <c r="C144" s="182"/>
      <c r="D144" s="414" t="s">
        <v>397</v>
      </c>
      <c r="E144" s="415"/>
      <c r="F144" s="415"/>
      <c r="G144" s="415"/>
      <c r="H144" s="415"/>
      <c r="I144" s="415"/>
      <c r="J144" s="415"/>
      <c r="K144" s="415"/>
      <c r="L144" s="415"/>
      <c r="M144" s="415"/>
      <c r="N144" s="415"/>
      <c r="O144" s="423"/>
      <c r="P144"/>
      <c r="Q144"/>
      <c r="R144"/>
      <c r="S144" s="16"/>
      <c r="T144" s="16"/>
      <c r="U144" s="16"/>
      <c r="V144" s="271"/>
      <c r="W144" s="53"/>
      <c r="X144" s="6"/>
      <c r="Z144" s="1"/>
      <c r="AA144" s="1"/>
    </row>
    <row r="145" spans="1:31" s="4" customFormat="1" ht="15">
      <c r="A145" s="1"/>
      <c r="B145" s="5"/>
      <c r="C145" s="182"/>
      <c r="D145" s="454" t="s">
        <v>393</v>
      </c>
      <c r="E145" s="454"/>
      <c r="F145" s="454"/>
      <c r="G145" s="267"/>
      <c r="H145" s="454" t="s">
        <v>394</v>
      </c>
      <c r="I145" s="454"/>
      <c r="J145" s="454"/>
      <c r="K145" s="17"/>
      <c r="L145" s="454" t="s">
        <v>395</v>
      </c>
      <c r="M145" s="454"/>
      <c r="N145" s="454"/>
      <c r="O145" s="16"/>
      <c r="P145"/>
      <c r="Q145"/>
      <c r="R145"/>
      <c r="U145" s="17"/>
      <c r="V145" s="271"/>
      <c r="W145" s="53"/>
      <c r="X145" s="16"/>
      <c r="Y145" s="16"/>
      <c r="Z145"/>
      <c r="AA145"/>
      <c r="AB145" s="6"/>
      <c r="AD145" s="1"/>
      <c r="AE145" s="1"/>
    </row>
    <row r="146" spans="1:31" s="4" customFormat="1" ht="12.75" customHeight="1">
      <c r="A146" s="1"/>
      <c r="B146" s="5"/>
      <c r="C146" s="182"/>
      <c r="D146" s="284" t="s">
        <v>0</v>
      </c>
      <c r="E146" s="16"/>
      <c r="F146" s="284" t="s">
        <v>1</v>
      </c>
      <c r="G146" s="89"/>
      <c r="H146" s="284" t="s">
        <v>0</v>
      </c>
      <c r="I146" s="16"/>
      <c r="J146" s="284" t="s">
        <v>1</v>
      </c>
      <c r="K146" s="17"/>
      <c r="L146" s="284" t="s">
        <v>0</v>
      </c>
      <c r="M146" s="16"/>
      <c r="N146" s="284" t="s">
        <v>1</v>
      </c>
      <c r="O146" s="16"/>
      <c r="P146"/>
      <c r="Q146"/>
      <c r="R146"/>
      <c r="U146" s="17"/>
      <c r="V146" s="107"/>
      <c r="W146" s="53"/>
      <c r="X146" s="16"/>
      <c r="Y146" s="16"/>
      <c r="Z146"/>
      <c r="AA146"/>
      <c r="AB146" s="6"/>
      <c r="AD146" s="1"/>
      <c r="AE146" s="1"/>
    </row>
    <row r="147" spans="1:31" s="4" customFormat="1" ht="12.75" customHeight="1">
      <c r="A147" s="1"/>
      <c r="B147" s="5"/>
      <c r="C147" s="182" t="s">
        <v>336</v>
      </c>
      <c r="D147" s="435">
        <v>0.059</v>
      </c>
      <c r="E147" s="436"/>
      <c r="F147" s="435">
        <v>0.051</v>
      </c>
      <c r="G147" s="437"/>
      <c r="H147" s="435">
        <v>0.044</v>
      </c>
      <c r="I147" s="436"/>
      <c r="J147" s="435">
        <v>0.039</v>
      </c>
      <c r="K147" s="438"/>
      <c r="L147" s="435">
        <v>0.036</v>
      </c>
      <c r="M147" s="436"/>
      <c r="N147" s="435">
        <v>0.033</v>
      </c>
      <c r="O147" s="16"/>
      <c r="P147"/>
      <c r="Q147"/>
      <c r="R147"/>
      <c r="T147" s="394"/>
      <c r="U147" s="394"/>
      <c r="V147" s="107"/>
      <c r="W147" s="53"/>
      <c r="X147" s="16"/>
      <c r="Y147" s="16"/>
      <c r="Z147"/>
      <c r="AA147"/>
      <c r="AB147" s="6"/>
      <c r="AD147" s="1"/>
      <c r="AE147" s="1"/>
    </row>
    <row r="148" spans="1:31" s="4" customFormat="1" ht="12.75" customHeight="1">
      <c r="A148" s="1"/>
      <c r="B148" s="5"/>
      <c r="C148" s="182" t="s">
        <v>337</v>
      </c>
      <c r="D148" s="435">
        <v>0.235</v>
      </c>
      <c r="E148" s="436"/>
      <c r="F148" s="435">
        <v>0.204</v>
      </c>
      <c r="G148" s="437"/>
      <c r="H148" s="435">
        <v>0.175</v>
      </c>
      <c r="I148" s="436"/>
      <c r="J148" s="435">
        <v>0.156</v>
      </c>
      <c r="K148" s="438"/>
      <c r="L148" s="435">
        <v>0.145</v>
      </c>
      <c r="M148" s="436"/>
      <c r="N148" s="435">
        <v>0.132</v>
      </c>
      <c r="O148" s="16"/>
      <c r="P148"/>
      <c r="Q148"/>
      <c r="R148"/>
      <c r="T148" s="270"/>
      <c r="U148" s="386"/>
      <c r="V148" s="107"/>
      <c r="W148" s="53"/>
      <c r="X148" s="16"/>
      <c r="Y148" s="16"/>
      <c r="Z148"/>
      <c r="AA148"/>
      <c r="AB148" s="6"/>
      <c r="AD148" s="1"/>
      <c r="AE148" s="1"/>
    </row>
    <row r="149" spans="1:31" s="4" customFormat="1" ht="12.75" customHeight="1">
      <c r="A149" s="1"/>
      <c r="B149" s="5"/>
      <c r="C149" s="182" t="s">
        <v>338</v>
      </c>
      <c r="D149" s="435">
        <v>0.47</v>
      </c>
      <c r="E149" s="436"/>
      <c r="F149" s="435">
        <v>0.408</v>
      </c>
      <c r="G149" s="437"/>
      <c r="H149" s="435">
        <v>0.35</v>
      </c>
      <c r="I149" s="436"/>
      <c r="J149" s="435">
        <v>0.312</v>
      </c>
      <c r="K149" s="438"/>
      <c r="L149" s="435">
        <v>0.29</v>
      </c>
      <c r="M149" s="436"/>
      <c r="N149" s="435">
        <v>0.264</v>
      </c>
      <c r="O149" s="16"/>
      <c r="P149"/>
      <c r="Q149"/>
      <c r="R149"/>
      <c r="T149" s="407"/>
      <c r="U149" s="16"/>
      <c r="V149" s="107"/>
      <c r="W149" s="53"/>
      <c r="X149" s="16"/>
      <c r="Y149" s="16"/>
      <c r="Z149"/>
      <c r="AA149"/>
      <c r="AB149" s="6"/>
      <c r="AD149" s="1"/>
      <c r="AE149" s="1"/>
    </row>
    <row r="150" spans="1:31" s="4" customFormat="1" ht="12.75" customHeight="1">
      <c r="A150" s="1"/>
      <c r="B150" s="5"/>
      <c r="C150" s="182" t="s">
        <v>377</v>
      </c>
      <c r="D150" s="435">
        <v>0.29</v>
      </c>
      <c r="E150" s="436"/>
      <c r="F150" s="435">
        <v>0.245</v>
      </c>
      <c r="G150" s="437"/>
      <c r="H150" s="435">
        <v>0.203</v>
      </c>
      <c r="I150" s="436"/>
      <c r="J150" s="435">
        <v>0.175</v>
      </c>
      <c r="K150" s="438"/>
      <c r="L150" s="435">
        <v>0.158</v>
      </c>
      <c r="M150" s="436"/>
      <c r="N150" s="435">
        <v>0.14</v>
      </c>
      <c r="O150" s="16"/>
      <c r="P150"/>
      <c r="Q150"/>
      <c r="R150"/>
      <c r="V150" s="107"/>
      <c r="W150" s="53"/>
      <c r="X150" s="16"/>
      <c r="Y150" s="16"/>
      <c r="Z150"/>
      <c r="AA150"/>
      <c r="AB150" s="6"/>
      <c r="AD150" s="1"/>
      <c r="AE150" s="1"/>
    </row>
    <row r="151" spans="1:31" s="4" customFormat="1" ht="12.75" customHeight="1">
      <c r="A151" s="1"/>
      <c r="B151" s="5"/>
      <c r="C151" s="182" t="s">
        <v>334</v>
      </c>
      <c r="D151" s="435">
        <v>0.58</v>
      </c>
      <c r="E151" s="436"/>
      <c r="F151" s="435">
        <v>0.49</v>
      </c>
      <c r="G151" s="437"/>
      <c r="H151" s="435">
        <v>0.405</v>
      </c>
      <c r="I151" s="436"/>
      <c r="J151" s="435">
        <v>0.35</v>
      </c>
      <c r="K151" s="438"/>
      <c r="L151" s="435">
        <v>0.315</v>
      </c>
      <c r="M151" s="436"/>
      <c r="N151" s="435">
        <v>0.28</v>
      </c>
      <c r="O151" s="16"/>
      <c r="P151"/>
      <c r="Q151"/>
      <c r="R151"/>
      <c r="U151" s="17"/>
      <c r="V151" s="107"/>
      <c r="W151" s="53"/>
      <c r="X151" s="16"/>
      <c r="Y151" s="16"/>
      <c r="Z151"/>
      <c r="AA151"/>
      <c r="AB151" s="6"/>
      <c r="AD151" s="1"/>
      <c r="AE151" s="1"/>
    </row>
    <row r="152" spans="1:31" s="4" customFormat="1" ht="12.75" customHeight="1">
      <c r="A152" s="1"/>
      <c r="B152" s="5"/>
      <c r="C152" s="182" t="s">
        <v>335</v>
      </c>
      <c r="D152" s="435">
        <v>1.16</v>
      </c>
      <c r="E152" s="436"/>
      <c r="F152" s="435">
        <v>0.98</v>
      </c>
      <c r="G152" s="437"/>
      <c r="H152" s="435">
        <v>0.81</v>
      </c>
      <c r="I152" s="436"/>
      <c r="J152" s="435">
        <v>0.7</v>
      </c>
      <c r="K152" s="438"/>
      <c r="L152" s="435">
        <v>0.63</v>
      </c>
      <c r="M152" s="436"/>
      <c r="N152" s="435">
        <v>0.56</v>
      </c>
      <c r="O152" s="16"/>
      <c r="P152"/>
      <c r="Q152"/>
      <c r="R152"/>
      <c r="U152" s="17"/>
      <c r="V152" s="107"/>
      <c r="W152" s="53"/>
      <c r="X152" s="16"/>
      <c r="Y152" s="16"/>
      <c r="Z152"/>
      <c r="AA152"/>
      <c r="AB152" s="6"/>
      <c r="AD152" s="1"/>
      <c r="AE152" s="1"/>
    </row>
    <row r="153" spans="1:31" s="4" customFormat="1" ht="12.75" customHeight="1">
      <c r="A153" s="1"/>
      <c r="B153" s="5"/>
      <c r="C153" s="182" t="s">
        <v>339</v>
      </c>
      <c r="D153" s="435">
        <v>0.165</v>
      </c>
      <c r="E153" s="436"/>
      <c r="F153" s="435">
        <v>0.153</v>
      </c>
      <c r="G153" s="437"/>
      <c r="H153" s="435">
        <v>0.125</v>
      </c>
      <c r="I153" s="436"/>
      <c r="J153" s="435">
        <v>0.118</v>
      </c>
      <c r="K153" s="438"/>
      <c r="L153" s="435">
        <v>0.105</v>
      </c>
      <c r="M153" s="436"/>
      <c r="N153" s="435">
        <v>0.1</v>
      </c>
      <c r="O153" s="16"/>
      <c r="P153"/>
      <c r="Q153"/>
      <c r="R153"/>
      <c r="U153" s="17"/>
      <c r="V153" s="107"/>
      <c r="W153" s="53"/>
      <c r="X153" s="16"/>
      <c r="Y153" s="16"/>
      <c r="Z153"/>
      <c r="AA153"/>
      <c r="AB153" s="6"/>
      <c r="AD153" s="1"/>
      <c r="AE153" s="1"/>
    </row>
    <row r="154" spans="1:31" s="4" customFormat="1" ht="12.75" customHeight="1">
      <c r="A154" s="1"/>
      <c r="B154" s="5"/>
      <c r="C154" s="182" t="s">
        <v>340</v>
      </c>
      <c r="D154" s="435">
        <v>0.66</v>
      </c>
      <c r="E154" s="436"/>
      <c r="F154" s="435">
        <v>0.612</v>
      </c>
      <c r="G154" s="437"/>
      <c r="H154" s="435">
        <v>0.5</v>
      </c>
      <c r="I154" s="436"/>
      <c r="J154" s="435">
        <v>0.472</v>
      </c>
      <c r="K154" s="438"/>
      <c r="L154" s="435">
        <v>0.42</v>
      </c>
      <c r="M154" s="436"/>
      <c r="N154" s="435">
        <v>0.4</v>
      </c>
      <c r="O154" s="16"/>
      <c r="P154"/>
      <c r="Q154"/>
      <c r="R154"/>
      <c r="U154" s="17"/>
      <c r="V154" s="107"/>
      <c r="W154" s="53"/>
      <c r="X154" s="16"/>
      <c r="Y154" s="16"/>
      <c r="Z154"/>
      <c r="AA154"/>
      <c r="AB154" s="6"/>
      <c r="AD154" s="1"/>
      <c r="AE154" s="1"/>
    </row>
    <row r="155" spans="1:27" s="4" customFormat="1" ht="12.75" customHeight="1">
      <c r="A155" s="1"/>
      <c r="B155" s="5"/>
      <c r="C155" s="182"/>
      <c r="D155" s="13"/>
      <c r="E155" s="16"/>
      <c r="F155" s="13"/>
      <c r="G155" s="16"/>
      <c r="H155" s="12"/>
      <c r="I155" s="16"/>
      <c r="J155" s="12"/>
      <c r="K155" s="17"/>
      <c r="L155" s="13"/>
      <c r="M155" s="16"/>
      <c r="N155" s="13"/>
      <c r="O155" s="16"/>
      <c r="P155" s="13"/>
      <c r="Q155" s="16"/>
      <c r="R155" s="13"/>
      <c r="S155" s="16"/>
      <c r="T155" s="16"/>
      <c r="U155" s="16"/>
      <c r="V155" s="271"/>
      <c r="W155" s="53"/>
      <c r="X155" s="6"/>
      <c r="Z155" s="1"/>
      <c r="AA155" s="1"/>
    </row>
    <row r="156" spans="1:27" s="4" customFormat="1" ht="12.75" customHeight="1">
      <c r="A156" s="1"/>
      <c r="B156" s="5"/>
      <c r="C156" s="182"/>
      <c r="D156" s="13"/>
      <c r="E156" s="16"/>
      <c r="F156" s="13"/>
      <c r="G156" s="16"/>
      <c r="H156" s="12"/>
      <c r="I156" s="16"/>
      <c r="J156" s="12"/>
      <c r="K156" s="17"/>
      <c r="L156" s="407"/>
      <c r="M156" s="16"/>
      <c r="O156" s="16"/>
      <c r="P156" s="407"/>
      <c r="Q156" s="16"/>
      <c r="S156" s="16"/>
      <c r="T156" s="16"/>
      <c r="U156" s="16"/>
      <c r="V156" s="271"/>
      <c r="W156" s="53"/>
      <c r="X156" s="6"/>
      <c r="Z156" s="1"/>
      <c r="AA156" s="1"/>
    </row>
    <row r="157" spans="1:27" s="4" customFormat="1" ht="12.75" customHeight="1">
      <c r="A157" s="1"/>
      <c r="B157" s="5"/>
      <c r="C157" s="285" t="str">
        <f>"a) Initial Reserve Expense - "&amp;Main!C99</f>
        <v>a) Initial Reserve Expense - Linux/Unix</v>
      </c>
      <c r="D157" s="24"/>
      <c r="E157" s="6"/>
      <c r="F157" s="10"/>
      <c r="G157" s="17"/>
      <c r="H157" s="13"/>
      <c r="I157" s="16"/>
      <c r="L157" s="10"/>
      <c r="M157" s="16"/>
      <c r="N157" s="35"/>
      <c r="O157" s="17"/>
      <c r="P157" s="10"/>
      <c r="Q157" s="16"/>
      <c r="R157" s="35"/>
      <c r="S157" s="17"/>
      <c r="T157" s="17"/>
      <c r="U157" s="17"/>
      <c r="V157" s="118"/>
      <c r="W157" s="53"/>
      <c r="X157" s="6"/>
      <c r="Z157" s="1"/>
      <c r="AA157" s="1"/>
    </row>
    <row r="158" spans="1:27" s="4" customFormat="1" ht="38.25">
      <c r="A158" s="1"/>
      <c r="B158" s="5"/>
      <c r="C158" s="427" t="s">
        <v>400</v>
      </c>
      <c r="D158" s="60" t="s">
        <v>347</v>
      </c>
      <c r="E158" s="6" t="s">
        <v>18</v>
      </c>
      <c r="F158" s="61" t="s">
        <v>393</v>
      </c>
      <c r="G158" s="17" t="s">
        <v>270</v>
      </c>
      <c r="H158" s="61" t="s">
        <v>394</v>
      </c>
      <c r="I158" s="17" t="s">
        <v>270</v>
      </c>
      <c r="J158" s="61" t="s">
        <v>395</v>
      </c>
      <c r="K158" s="17" t="s">
        <v>29</v>
      </c>
      <c r="L158" s="64" t="s">
        <v>402</v>
      </c>
      <c r="M158" s="17"/>
      <c r="N158" s="64" t="s">
        <v>403</v>
      </c>
      <c r="O158" s="17"/>
      <c r="P158" s="64" t="s">
        <v>404</v>
      </c>
      <c r="S158" s="17"/>
      <c r="T158" s="42"/>
      <c r="U158" s="17"/>
      <c r="V158" s="118"/>
      <c r="W158" s="53"/>
      <c r="X158" s="6"/>
      <c r="Z158" s="1"/>
      <c r="AA158" s="1"/>
    </row>
    <row r="159" spans="1:27" s="4" customFormat="1" ht="12.75" customHeight="1">
      <c r="A159" s="1"/>
      <c r="B159" s="5"/>
      <c r="C159" s="182" t="s">
        <v>336</v>
      </c>
      <c r="D159" s="58">
        <f aca="true" t="shared" si="10" ref="D159:D166">D45</f>
        <v>300</v>
      </c>
      <c r="E159" s="6"/>
      <c r="F159" s="8">
        <f ca="1">OFFSET(D111,(Main!$C$98-1)*24,0)</f>
        <v>69</v>
      </c>
      <c r="G159" s="17"/>
      <c r="H159" s="8">
        <f ca="1">OFFSET(H111,(Main!$C$98-1)*24,0)</f>
        <v>160</v>
      </c>
      <c r="I159" s="17"/>
      <c r="J159" s="8">
        <f ca="1">OFFSET(L111,(Main!$C$98-1)*24,0)</f>
        <v>195</v>
      </c>
      <c r="K159" s="16"/>
      <c r="L159" s="286">
        <f aca="true" t="shared" si="11" ref="L159:L166">$D159*F159</f>
        <v>20700</v>
      </c>
      <c r="M159" s="17"/>
      <c r="N159" s="286">
        <f aca="true" t="shared" si="12" ref="N159:N166">$D159*H159</f>
        <v>48000</v>
      </c>
      <c r="O159" s="16"/>
      <c r="P159" s="286">
        <f aca="true" t="shared" si="13" ref="P159:P166">$D159*J159</f>
        <v>58500</v>
      </c>
      <c r="S159" s="17"/>
      <c r="T159" s="286"/>
      <c r="U159" s="17"/>
      <c r="V159" s="118"/>
      <c r="W159" s="53"/>
      <c r="X159" s="6"/>
      <c r="Z159" s="1"/>
      <c r="AA159" s="1"/>
    </row>
    <row r="160" spans="1:27" s="4" customFormat="1" ht="12.75" customHeight="1">
      <c r="A160" s="1"/>
      <c r="B160" s="5"/>
      <c r="C160" s="182" t="s">
        <v>337</v>
      </c>
      <c r="D160" s="58">
        <f t="shared" si="10"/>
        <v>0</v>
      </c>
      <c r="E160" s="6"/>
      <c r="F160" s="8">
        <f ca="1">OFFSET(D112,(Main!$C$98-1)*24,0)</f>
        <v>276</v>
      </c>
      <c r="G160" s="17"/>
      <c r="H160" s="8">
        <f ca="1">OFFSET(H112,(Main!$C$98-1)*24,0)</f>
        <v>640</v>
      </c>
      <c r="I160" s="17"/>
      <c r="J160" s="8">
        <f ca="1">OFFSET(L112,(Main!$C$98-1)*24,0)</f>
        <v>780</v>
      </c>
      <c r="K160" s="16"/>
      <c r="L160" s="286">
        <f t="shared" si="11"/>
        <v>0</v>
      </c>
      <c r="M160" s="17"/>
      <c r="N160" s="286">
        <f t="shared" si="12"/>
        <v>0</v>
      </c>
      <c r="O160" s="16"/>
      <c r="P160" s="286">
        <f t="shared" si="13"/>
        <v>0</v>
      </c>
      <c r="S160" s="17"/>
      <c r="T160" s="286"/>
      <c r="U160" s="17"/>
      <c r="V160" s="118"/>
      <c r="W160" s="53"/>
      <c r="X160" s="6"/>
      <c r="Z160" s="1"/>
      <c r="AA160" s="1"/>
    </row>
    <row r="161" spans="1:27" s="4" customFormat="1" ht="12.75" customHeight="1">
      <c r="A161" s="1"/>
      <c r="B161" s="5"/>
      <c r="C161" s="182" t="s">
        <v>338</v>
      </c>
      <c r="D161" s="58">
        <f t="shared" si="10"/>
        <v>0</v>
      </c>
      <c r="E161" s="6"/>
      <c r="F161" s="8">
        <f ca="1">OFFSET(D113,(Main!$C$98-1)*24,0)</f>
        <v>552</v>
      </c>
      <c r="G161" s="17"/>
      <c r="H161" s="8">
        <f ca="1">OFFSET(H113,(Main!$C$98-1)*24,0)</f>
        <v>1280</v>
      </c>
      <c r="I161" s="17"/>
      <c r="J161" s="8">
        <f ca="1">OFFSET(L113,(Main!$C$98-1)*24,0)</f>
        <v>1560</v>
      </c>
      <c r="K161" s="16"/>
      <c r="L161" s="286">
        <f t="shared" si="11"/>
        <v>0</v>
      </c>
      <c r="M161" s="17"/>
      <c r="N161" s="286">
        <f t="shared" si="12"/>
        <v>0</v>
      </c>
      <c r="O161" s="16"/>
      <c r="P161" s="286">
        <f t="shared" si="13"/>
        <v>0</v>
      </c>
      <c r="S161" s="17"/>
      <c r="T161" s="286"/>
      <c r="U161" s="17"/>
      <c r="V161" s="118"/>
      <c r="W161" s="53"/>
      <c r="X161" s="6"/>
      <c r="Z161" s="1"/>
      <c r="AA161" s="1"/>
    </row>
    <row r="162" spans="1:27" s="4" customFormat="1" ht="12.75" customHeight="1">
      <c r="A162" s="1"/>
      <c r="B162" s="5"/>
      <c r="C162" s="182" t="s">
        <v>377</v>
      </c>
      <c r="D162" s="58">
        <f t="shared" si="10"/>
        <v>0</v>
      </c>
      <c r="E162" s="6"/>
      <c r="F162" s="8">
        <f ca="1">OFFSET(D114,(Main!$C$98-1)*24,0)</f>
        <v>353</v>
      </c>
      <c r="G162" s="17"/>
      <c r="H162" s="8">
        <f ca="1">OFFSET(H114,(Main!$C$98-1)*24,0)</f>
        <v>850</v>
      </c>
      <c r="I162" s="17"/>
      <c r="J162" s="8">
        <f ca="1">OFFSET(L114,(Main!$C$98-1)*24,0)</f>
        <v>1030</v>
      </c>
      <c r="K162" s="16"/>
      <c r="L162" s="286">
        <f t="shared" si="11"/>
        <v>0</v>
      </c>
      <c r="M162" s="17"/>
      <c r="N162" s="286">
        <f t="shared" si="12"/>
        <v>0</v>
      </c>
      <c r="O162" s="16"/>
      <c r="P162" s="286">
        <f t="shared" si="13"/>
        <v>0</v>
      </c>
      <c r="S162" s="17"/>
      <c r="T162" s="286"/>
      <c r="U162" s="17"/>
      <c r="V162" s="118"/>
      <c r="W162" s="53"/>
      <c r="X162" s="6"/>
      <c r="Z162" s="1"/>
      <c r="AA162" s="1"/>
    </row>
    <row r="163" spans="1:27" s="4" customFormat="1" ht="12.75" customHeight="1">
      <c r="A163" s="1"/>
      <c r="B163" s="5"/>
      <c r="C163" s="182" t="s">
        <v>334</v>
      </c>
      <c r="D163" s="58">
        <f t="shared" si="10"/>
        <v>0</v>
      </c>
      <c r="E163" s="6"/>
      <c r="F163" s="8">
        <f ca="1">OFFSET(D115,(Main!$C$98-1)*24,0)</f>
        <v>706</v>
      </c>
      <c r="G163" s="17"/>
      <c r="H163" s="8">
        <f ca="1">OFFSET(H115,(Main!$C$98-1)*24,0)</f>
        <v>1700</v>
      </c>
      <c r="I163" s="17"/>
      <c r="J163" s="8">
        <f ca="1">OFFSET(L115,(Main!$C$98-1)*24,0)</f>
        <v>2060</v>
      </c>
      <c r="K163" s="16"/>
      <c r="L163" s="286">
        <f t="shared" si="11"/>
        <v>0</v>
      </c>
      <c r="M163" s="17"/>
      <c r="N163" s="286">
        <f t="shared" si="12"/>
        <v>0</v>
      </c>
      <c r="O163" s="16"/>
      <c r="P163" s="286">
        <f t="shared" si="13"/>
        <v>0</v>
      </c>
      <c r="S163" s="17"/>
      <c r="T163" s="286"/>
      <c r="U163" s="17"/>
      <c r="V163" s="118"/>
      <c r="W163" s="53"/>
      <c r="X163" s="6"/>
      <c r="Z163" s="1"/>
      <c r="AA163" s="1"/>
    </row>
    <row r="164" spans="1:27" s="4" customFormat="1" ht="12.75" customHeight="1">
      <c r="A164" s="1"/>
      <c r="B164" s="5"/>
      <c r="C164" s="182" t="s">
        <v>335</v>
      </c>
      <c r="D164" s="58">
        <f t="shared" si="10"/>
        <v>0</v>
      </c>
      <c r="E164" s="6"/>
      <c r="F164" s="8">
        <f ca="1">OFFSET(D116,(Main!$C$98-1)*24,0)</f>
        <v>1412</v>
      </c>
      <c r="G164" s="17"/>
      <c r="H164" s="8">
        <f ca="1">OFFSET(H116,(Main!$C$98-1)*24,0)</f>
        <v>3400</v>
      </c>
      <c r="I164" s="17"/>
      <c r="J164" s="8">
        <f ca="1">OFFSET(L116,(Main!$C$98-1)*24,0)</f>
        <v>4120</v>
      </c>
      <c r="K164" s="16"/>
      <c r="L164" s="286">
        <f t="shared" si="11"/>
        <v>0</v>
      </c>
      <c r="M164" s="17"/>
      <c r="N164" s="286">
        <f t="shared" si="12"/>
        <v>0</v>
      </c>
      <c r="O164" s="16"/>
      <c r="P164" s="286">
        <f t="shared" si="13"/>
        <v>0</v>
      </c>
      <c r="S164" s="17"/>
      <c r="T164" s="286"/>
      <c r="U164" s="17"/>
      <c r="V164" s="118"/>
      <c r="W164" s="53"/>
      <c r="X164" s="6"/>
      <c r="Z164" s="1"/>
      <c r="AA164" s="1"/>
    </row>
    <row r="165" spans="1:27" s="4" customFormat="1" ht="12.75" customHeight="1">
      <c r="A165" s="1"/>
      <c r="B165" s="5"/>
      <c r="C165" s="182" t="s">
        <v>339</v>
      </c>
      <c r="D165" s="58">
        <f t="shared" si="10"/>
        <v>0</v>
      </c>
      <c r="E165" s="6"/>
      <c r="F165" s="8">
        <f ca="1">OFFSET(D117,(Main!$C$98-1)*24,0)</f>
        <v>178</v>
      </c>
      <c r="G165" s="17"/>
      <c r="H165" s="8">
        <f ca="1">OFFSET(H117,(Main!$C$98-1)*24,0)</f>
        <v>415</v>
      </c>
      <c r="I165" s="17"/>
      <c r="J165" s="8">
        <f ca="1">OFFSET(L117,(Main!$C$98-1)*24,0)</f>
        <v>500</v>
      </c>
      <c r="K165" s="16"/>
      <c r="L165" s="286">
        <f t="shared" si="11"/>
        <v>0</v>
      </c>
      <c r="M165" s="17"/>
      <c r="N165" s="286">
        <f t="shared" si="12"/>
        <v>0</v>
      </c>
      <c r="O165" s="16"/>
      <c r="P165" s="286">
        <f t="shared" si="13"/>
        <v>0</v>
      </c>
      <c r="S165" s="17"/>
      <c r="T165" s="286"/>
      <c r="U165" s="17"/>
      <c r="V165" s="118"/>
      <c r="W165" s="53"/>
      <c r="X165" s="6"/>
      <c r="Z165" s="1"/>
      <c r="AA165" s="1"/>
    </row>
    <row r="166" spans="1:27" s="4" customFormat="1" ht="12.75" customHeight="1">
      <c r="A166" s="1"/>
      <c r="B166" s="5"/>
      <c r="C166" s="182" t="s">
        <v>340</v>
      </c>
      <c r="D166" s="135">
        <f t="shared" si="10"/>
        <v>0</v>
      </c>
      <c r="E166" s="6"/>
      <c r="F166" s="8">
        <f ca="1">OFFSET(D118,(Main!$C$98-1)*24,0)</f>
        <v>712</v>
      </c>
      <c r="G166" s="17"/>
      <c r="H166" s="8">
        <f ca="1">OFFSET(H118,(Main!$C$98-1)*24,0)</f>
        <v>1660</v>
      </c>
      <c r="I166" s="17"/>
      <c r="J166" s="8">
        <f ca="1">OFFSET(L118,(Main!$C$98-1)*24,0)</f>
        <v>2000</v>
      </c>
      <c r="K166" s="16"/>
      <c r="L166" s="287">
        <f t="shared" si="11"/>
        <v>0</v>
      </c>
      <c r="M166" s="17"/>
      <c r="N166" s="287">
        <f t="shared" si="12"/>
        <v>0</v>
      </c>
      <c r="O166" s="16"/>
      <c r="P166" s="287">
        <f t="shared" si="13"/>
        <v>0</v>
      </c>
      <c r="S166" s="17"/>
      <c r="T166" s="286"/>
      <c r="U166" s="17"/>
      <c r="V166" s="118"/>
      <c r="W166" s="53"/>
      <c r="X166" s="6"/>
      <c r="Z166" s="1"/>
      <c r="AA166" s="1"/>
    </row>
    <row r="167" spans="1:27" s="4" customFormat="1" ht="12.75" customHeight="1">
      <c r="A167" s="1"/>
      <c r="B167" s="5"/>
      <c r="C167" s="129"/>
      <c r="D167" s="58">
        <f>SUM(D159:D166)</f>
        <v>300</v>
      </c>
      <c r="E167" s="6"/>
      <c r="F167" s="8"/>
      <c r="G167" s="17"/>
      <c r="H167" s="8"/>
      <c r="K167" s="40"/>
      <c r="L167" s="288">
        <f>SUM(L159:L166)</f>
        <v>20700</v>
      </c>
      <c r="M167" s="17"/>
      <c r="N167" s="288">
        <f>SUM(N159:N166)</f>
        <v>48000</v>
      </c>
      <c r="O167" s="40"/>
      <c r="P167" s="288">
        <f>SUM(P159:P166)</f>
        <v>58500</v>
      </c>
      <c r="S167" s="17"/>
      <c r="T167" s="288"/>
      <c r="U167" s="17"/>
      <c r="V167" s="118"/>
      <c r="W167" s="53"/>
      <c r="X167" s="6"/>
      <c r="Z167" s="1"/>
      <c r="AA167" s="1"/>
    </row>
    <row r="168" spans="1:27" s="4" customFormat="1" ht="12.75" customHeight="1">
      <c r="A168" s="1"/>
      <c r="B168" s="5"/>
      <c r="C168" s="129"/>
      <c r="D168" s="58"/>
      <c r="E168" s="6"/>
      <c r="F168" s="58"/>
      <c r="H168" s="8"/>
      <c r="I168" s="17"/>
      <c r="J168" s="8"/>
      <c r="K168" s="16"/>
      <c r="L168" s="12"/>
      <c r="M168" s="17"/>
      <c r="N168" s="6"/>
      <c r="O168" s="17"/>
      <c r="P168" s="12"/>
      <c r="Q168" s="17"/>
      <c r="R168" s="6"/>
      <c r="S168" s="17"/>
      <c r="T168" s="17"/>
      <c r="U168" s="17"/>
      <c r="V168" s="118"/>
      <c r="W168" s="53"/>
      <c r="X168" s="6"/>
      <c r="Z168" s="1"/>
      <c r="AA168" s="1"/>
    </row>
    <row r="169" spans="1:27" s="4" customFormat="1" ht="38.25">
      <c r="A169" s="1"/>
      <c r="B169" s="5"/>
      <c r="C169" s="427" t="s">
        <v>401</v>
      </c>
      <c r="D169" s="60" t="s">
        <v>347</v>
      </c>
      <c r="E169" s="6" t="s">
        <v>18</v>
      </c>
      <c r="F169" s="61" t="s">
        <v>393</v>
      </c>
      <c r="G169" s="17" t="s">
        <v>270</v>
      </c>
      <c r="H169" s="61" t="s">
        <v>394</v>
      </c>
      <c r="I169" s="17" t="s">
        <v>270</v>
      </c>
      <c r="J169" s="61" t="s">
        <v>395</v>
      </c>
      <c r="K169" s="17" t="s">
        <v>29</v>
      </c>
      <c r="L169" s="64" t="s">
        <v>402</v>
      </c>
      <c r="M169" s="17"/>
      <c r="N169" s="64" t="s">
        <v>403</v>
      </c>
      <c r="O169" s="17"/>
      <c r="P169" s="64" t="s">
        <v>404</v>
      </c>
      <c r="S169" s="17"/>
      <c r="T169" s="42"/>
      <c r="U169" s="17"/>
      <c r="V169" s="118"/>
      <c r="W169" s="53"/>
      <c r="X169" s="6"/>
      <c r="Z169" s="1"/>
      <c r="AA169" s="1"/>
    </row>
    <row r="170" spans="1:27" s="4" customFormat="1" ht="12.75" customHeight="1">
      <c r="A170" s="1"/>
      <c r="B170" s="5"/>
      <c r="C170" s="182" t="s">
        <v>336</v>
      </c>
      <c r="D170" s="58">
        <f>D45</f>
        <v>300</v>
      </c>
      <c r="E170" s="6"/>
      <c r="F170" s="8">
        <f ca="1">OFFSET(F111,(Main!$C$98-1)*24,0)</f>
        <v>106.3</v>
      </c>
      <c r="G170" s="17"/>
      <c r="H170" s="8">
        <f ca="1">OFFSET(J111,(Main!$C$98-1)*24,0)</f>
        <v>250</v>
      </c>
      <c r="I170" s="17"/>
      <c r="J170" s="8">
        <f ca="1">OFFSET(N111,(Main!$C$98-1)*24,0)</f>
        <v>300</v>
      </c>
      <c r="K170" s="16"/>
      <c r="L170" s="286">
        <f aca="true" t="shared" si="14" ref="L170:L177">$D170*F170/3</f>
        <v>10630</v>
      </c>
      <c r="M170" s="17"/>
      <c r="N170" s="286">
        <f aca="true" t="shared" si="15" ref="N170:N177">$D170*H170/3</f>
        <v>25000</v>
      </c>
      <c r="O170" s="16"/>
      <c r="P170" s="286">
        <f aca="true" t="shared" si="16" ref="P170:P177">$D170*J170/3</f>
        <v>30000</v>
      </c>
      <c r="S170" s="17"/>
      <c r="T170" s="286"/>
      <c r="U170" s="17"/>
      <c r="V170" s="118"/>
      <c r="W170" s="53"/>
      <c r="X170" s="6"/>
      <c r="Z170" s="1"/>
      <c r="AA170" s="1"/>
    </row>
    <row r="171" spans="1:27" s="4" customFormat="1" ht="12.75" customHeight="1">
      <c r="A171" s="1"/>
      <c r="B171" s="5"/>
      <c r="C171" s="182" t="s">
        <v>337</v>
      </c>
      <c r="D171" s="58">
        <f aca="true" t="shared" si="17" ref="D171:D177">D46</f>
        <v>0</v>
      </c>
      <c r="E171" s="6"/>
      <c r="F171" s="8">
        <f ca="1">OFFSET(F112,(Main!$C$98-1)*24,0)</f>
        <v>425.2</v>
      </c>
      <c r="G171" s="17"/>
      <c r="H171" s="8">
        <f ca="1">OFFSET(J112,(Main!$C$98-1)*24,0)</f>
        <v>1000</v>
      </c>
      <c r="I171" s="17"/>
      <c r="J171" s="8">
        <f ca="1">OFFSET(N112,(Main!$C$98-1)*24,0)</f>
        <v>1200</v>
      </c>
      <c r="K171" s="16"/>
      <c r="L171" s="286">
        <f t="shared" si="14"/>
        <v>0</v>
      </c>
      <c r="M171" s="17"/>
      <c r="N171" s="286">
        <f t="shared" si="15"/>
        <v>0</v>
      </c>
      <c r="O171" s="16"/>
      <c r="P171" s="286">
        <f t="shared" si="16"/>
        <v>0</v>
      </c>
      <c r="S171" s="17"/>
      <c r="T171" s="286"/>
      <c r="U171" s="17"/>
      <c r="V171" s="118"/>
      <c r="W171" s="53"/>
      <c r="X171" s="6"/>
      <c r="Z171" s="1"/>
      <c r="AA171" s="1"/>
    </row>
    <row r="172" spans="1:27" s="4" customFormat="1" ht="12.75" customHeight="1">
      <c r="A172" s="1"/>
      <c r="B172" s="5"/>
      <c r="C172" s="182" t="s">
        <v>338</v>
      </c>
      <c r="D172" s="58">
        <f t="shared" si="17"/>
        <v>0</v>
      </c>
      <c r="E172" s="6"/>
      <c r="F172" s="8">
        <f ca="1">OFFSET(F113,(Main!$C$98-1)*24,0)</f>
        <v>850.4</v>
      </c>
      <c r="G172" s="17"/>
      <c r="H172" s="8">
        <f ca="1">OFFSET(J113,(Main!$C$98-1)*24,0)</f>
        <v>2000</v>
      </c>
      <c r="I172" s="17"/>
      <c r="J172" s="8">
        <f ca="1">OFFSET(N113,(Main!$C$98-1)*24,0)</f>
        <v>2400</v>
      </c>
      <c r="K172" s="16"/>
      <c r="L172" s="286">
        <f t="shared" si="14"/>
        <v>0</v>
      </c>
      <c r="M172" s="17"/>
      <c r="N172" s="286">
        <f t="shared" si="15"/>
        <v>0</v>
      </c>
      <c r="O172" s="16"/>
      <c r="P172" s="286">
        <f t="shared" si="16"/>
        <v>0</v>
      </c>
      <c r="S172" s="17"/>
      <c r="T172" s="286"/>
      <c r="U172" s="17"/>
      <c r="V172" s="118"/>
      <c r="W172" s="53"/>
      <c r="X172" s="6"/>
      <c r="Z172" s="1"/>
      <c r="AA172" s="1"/>
    </row>
    <row r="173" spans="1:27" s="4" customFormat="1" ht="12.75" customHeight="1">
      <c r="A173" s="1"/>
      <c r="B173" s="5"/>
      <c r="C173" s="182" t="s">
        <v>377</v>
      </c>
      <c r="D173" s="58">
        <f t="shared" si="17"/>
        <v>0</v>
      </c>
      <c r="E173" s="6"/>
      <c r="F173" s="8">
        <f ca="1">OFFSET(F114,(Main!$C$98-1)*24,0)</f>
        <v>548</v>
      </c>
      <c r="G173" s="17"/>
      <c r="H173" s="8">
        <f ca="1">OFFSET(J114,(Main!$C$98-1)*24,0)</f>
        <v>1283</v>
      </c>
      <c r="I173" s="17"/>
      <c r="J173" s="8">
        <f ca="1">OFFSET(N114,(Main!$C$98-1)*24,0)</f>
        <v>1550</v>
      </c>
      <c r="K173" s="16"/>
      <c r="L173" s="286">
        <f t="shared" si="14"/>
        <v>0</v>
      </c>
      <c r="M173" s="17"/>
      <c r="N173" s="286">
        <f t="shared" si="15"/>
        <v>0</v>
      </c>
      <c r="O173" s="16"/>
      <c r="P173" s="286">
        <f t="shared" si="16"/>
        <v>0</v>
      </c>
      <c r="S173" s="17"/>
      <c r="T173" s="286"/>
      <c r="U173" s="17"/>
      <c r="V173" s="118"/>
      <c r="W173" s="53"/>
      <c r="X173" s="6"/>
      <c r="Z173" s="1"/>
      <c r="AA173" s="1"/>
    </row>
    <row r="174" spans="1:27" s="4" customFormat="1" ht="12.75" customHeight="1">
      <c r="A174" s="1"/>
      <c r="B174" s="5"/>
      <c r="C174" s="182" t="s">
        <v>334</v>
      </c>
      <c r="D174" s="58">
        <f t="shared" si="17"/>
        <v>0</v>
      </c>
      <c r="E174" s="6"/>
      <c r="F174" s="8">
        <f ca="1">OFFSET(F115,(Main!$C$98-1)*24,0)</f>
        <v>1096</v>
      </c>
      <c r="G174" s="17"/>
      <c r="H174" s="8">
        <f ca="1">OFFSET(J115,(Main!$C$98-1)*24,0)</f>
        <v>2566</v>
      </c>
      <c r="I174" s="17"/>
      <c r="J174" s="8">
        <f ca="1">OFFSET(N115,(Main!$C$98-1)*24,0)</f>
        <v>3100</v>
      </c>
      <c r="K174" s="16"/>
      <c r="L174" s="286">
        <f t="shared" si="14"/>
        <v>0</v>
      </c>
      <c r="M174" s="17"/>
      <c r="N174" s="286">
        <f t="shared" si="15"/>
        <v>0</v>
      </c>
      <c r="O174" s="16"/>
      <c r="P174" s="286">
        <f t="shared" si="16"/>
        <v>0</v>
      </c>
      <c r="S174" s="17"/>
      <c r="T174" s="286"/>
      <c r="U174" s="17"/>
      <c r="V174" s="118"/>
      <c r="W174" s="53"/>
      <c r="X174" s="6"/>
      <c r="Z174" s="1"/>
      <c r="AA174" s="1"/>
    </row>
    <row r="175" spans="1:27" s="4" customFormat="1" ht="12.75" customHeight="1">
      <c r="A175" s="1"/>
      <c r="B175" s="5"/>
      <c r="C175" s="182" t="s">
        <v>335</v>
      </c>
      <c r="D175" s="58">
        <f t="shared" si="17"/>
        <v>0</v>
      </c>
      <c r="E175" s="6"/>
      <c r="F175" s="8">
        <f ca="1">OFFSET(F116,(Main!$C$98-1)*24,0)</f>
        <v>2192</v>
      </c>
      <c r="G175" s="17"/>
      <c r="H175" s="8">
        <f ca="1">OFFSET(J116,(Main!$C$98-1)*24,0)</f>
        <v>5132</v>
      </c>
      <c r="I175" s="17"/>
      <c r="J175" s="8">
        <f ca="1">OFFSET(N116,(Main!$C$98-1)*24,0)</f>
        <v>6200</v>
      </c>
      <c r="K175" s="16"/>
      <c r="L175" s="286">
        <f t="shared" si="14"/>
        <v>0</v>
      </c>
      <c r="M175" s="17"/>
      <c r="N175" s="286">
        <f t="shared" si="15"/>
        <v>0</v>
      </c>
      <c r="O175" s="16"/>
      <c r="P175" s="286">
        <f t="shared" si="16"/>
        <v>0</v>
      </c>
      <c r="S175" s="17"/>
      <c r="T175" s="286"/>
      <c r="U175" s="17"/>
      <c r="V175" s="118"/>
      <c r="W175" s="53"/>
      <c r="X175" s="6"/>
      <c r="Z175" s="1"/>
      <c r="AA175" s="1"/>
    </row>
    <row r="176" spans="1:27" s="4" customFormat="1" ht="12.75" customHeight="1">
      <c r="A176" s="1"/>
      <c r="B176" s="5"/>
      <c r="C176" s="182" t="s">
        <v>339</v>
      </c>
      <c r="D176" s="58">
        <f t="shared" si="17"/>
        <v>0</v>
      </c>
      <c r="E176" s="6"/>
      <c r="F176" s="8">
        <f ca="1">OFFSET(F117,(Main!$C$98-1)*24,0)</f>
        <v>273</v>
      </c>
      <c r="G176" s="17"/>
      <c r="H176" s="8">
        <f ca="1">OFFSET(J117,(Main!$C$98-1)*24,0)</f>
        <v>638</v>
      </c>
      <c r="I176" s="17"/>
      <c r="J176" s="8">
        <f ca="1">OFFSET(N117,(Main!$C$98-1)*24,0)</f>
        <v>775</v>
      </c>
      <c r="K176" s="16"/>
      <c r="L176" s="286">
        <f t="shared" si="14"/>
        <v>0</v>
      </c>
      <c r="M176" s="17"/>
      <c r="N176" s="286">
        <f t="shared" si="15"/>
        <v>0</v>
      </c>
      <c r="O176" s="16"/>
      <c r="P176" s="286">
        <f t="shared" si="16"/>
        <v>0</v>
      </c>
      <c r="S176" s="17"/>
      <c r="T176" s="286"/>
      <c r="U176" s="17"/>
      <c r="V176" s="118"/>
      <c r="W176" s="53"/>
      <c r="X176" s="6"/>
      <c r="Z176" s="1"/>
      <c r="AA176" s="1"/>
    </row>
    <row r="177" spans="1:27" s="4" customFormat="1" ht="12.75" customHeight="1">
      <c r="A177" s="1"/>
      <c r="B177" s="5"/>
      <c r="C177" s="182" t="s">
        <v>340</v>
      </c>
      <c r="D177" s="135">
        <f t="shared" si="17"/>
        <v>0</v>
      </c>
      <c r="E177" s="6"/>
      <c r="F177" s="8">
        <f ca="1">OFFSET(F118,(Main!$C$98-1)*24,0)</f>
        <v>1092</v>
      </c>
      <c r="G177" s="17"/>
      <c r="H177" s="8">
        <f ca="1">OFFSET(J118,(Main!$C$98-1)*24,0)</f>
        <v>2552</v>
      </c>
      <c r="I177" s="17"/>
      <c r="J177" s="8">
        <f ca="1">OFFSET(N118,(Main!$C$98-1)*24,0)</f>
        <v>3100</v>
      </c>
      <c r="K177" s="16"/>
      <c r="L177" s="287">
        <f t="shared" si="14"/>
        <v>0</v>
      </c>
      <c r="M177" s="17"/>
      <c r="N177" s="287">
        <f t="shared" si="15"/>
        <v>0</v>
      </c>
      <c r="O177" s="16"/>
      <c r="P177" s="287">
        <f t="shared" si="16"/>
        <v>0</v>
      </c>
      <c r="S177" s="17"/>
      <c r="T177" s="286"/>
      <c r="U177" s="17"/>
      <c r="V177" s="118"/>
      <c r="W177" s="53"/>
      <c r="X177" s="6"/>
      <c r="Z177" s="1"/>
      <c r="AA177" s="1"/>
    </row>
    <row r="178" spans="1:27" s="4" customFormat="1" ht="12.75" customHeight="1">
      <c r="A178" s="1"/>
      <c r="B178" s="5"/>
      <c r="C178" s="129"/>
      <c r="D178" s="58">
        <f>SUM(D170:D177)</f>
        <v>300</v>
      </c>
      <c r="E178" s="6"/>
      <c r="F178" s="8"/>
      <c r="G178" s="17"/>
      <c r="H178" s="8"/>
      <c r="K178" s="40"/>
      <c r="L178" s="288">
        <f>SUM(L170:L177)</f>
        <v>10630</v>
      </c>
      <c r="M178" s="17"/>
      <c r="N178" s="288">
        <f>SUM(N170:N177)</f>
        <v>25000</v>
      </c>
      <c r="O178" s="40"/>
      <c r="P178" s="288">
        <f>SUM(P170:P177)</f>
        <v>30000</v>
      </c>
      <c r="S178" s="17"/>
      <c r="T178" s="288"/>
      <c r="U178" s="17"/>
      <c r="V178" s="118"/>
      <c r="W178" s="53"/>
      <c r="X178" s="6"/>
      <c r="Z178" s="1"/>
      <c r="AA178" s="1"/>
    </row>
    <row r="179" spans="1:27" s="4" customFormat="1" ht="12.75" customHeight="1">
      <c r="A179" s="1"/>
      <c r="B179" s="5"/>
      <c r="C179" s="129"/>
      <c r="D179" s="58"/>
      <c r="E179" s="6"/>
      <c r="F179" s="58"/>
      <c r="H179" s="8"/>
      <c r="I179" s="17"/>
      <c r="J179" s="8"/>
      <c r="K179" s="16"/>
      <c r="L179" s="12"/>
      <c r="M179" s="17"/>
      <c r="N179" s="6"/>
      <c r="O179" s="17"/>
      <c r="P179" s="12"/>
      <c r="Q179" s="17"/>
      <c r="R179" s="6"/>
      <c r="S179" s="17"/>
      <c r="T179" s="17"/>
      <c r="U179" s="17"/>
      <c r="V179" s="118"/>
      <c r="W179" s="53"/>
      <c r="X179" s="6"/>
      <c r="Z179" s="1"/>
      <c r="AA179" s="1"/>
    </row>
    <row r="180" spans="1:27" s="4" customFormat="1" ht="12.75" customHeight="1">
      <c r="A180" s="1"/>
      <c r="B180" s="5"/>
      <c r="C180" s="129"/>
      <c r="D180" s="365" t="s">
        <v>324</v>
      </c>
      <c r="E180" s="6"/>
      <c r="F180" s="58"/>
      <c r="H180" s="8"/>
      <c r="I180" s="17"/>
      <c r="J180" s="289"/>
      <c r="K180" s="16"/>
      <c r="L180" s="35"/>
      <c r="M180" s="17"/>
      <c r="N180" s="6"/>
      <c r="O180" s="17"/>
      <c r="P180" s="35"/>
      <c r="Q180" s="17"/>
      <c r="R180" s="6"/>
      <c r="S180" s="17"/>
      <c r="T180" s="17"/>
      <c r="U180" s="17"/>
      <c r="V180" s="118"/>
      <c r="W180" s="53"/>
      <c r="X180" s="6"/>
      <c r="Z180" s="1"/>
      <c r="AA180" s="1"/>
    </row>
    <row r="181" spans="1:27" s="4" customFormat="1" ht="12.75" customHeight="1">
      <c r="A181" s="1"/>
      <c r="B181" s="5"/>
      <c r="C181" s="129"/>
      <c r="D181" s="58"/>
      <c r="E181" s="6"/>
      <c r="F181" s="58"/>
      <c r="H181" s="8"/>
      <c r="I181" s="17"/>
      <c r="J181" s="289"/>
      <c r="K181" s="16"/>
      <c r="L181" s="35"/>
      <c r="M181" s="17"/>
      <c r="N181" s="6"/>
      <c r="O181" s="17"/>
      <c r="P181" s="35"/>
      <c r="Q181" s="17"/>
      <c r="R181" s="6"/>
      <c r="S181" s="17"/>
      <c r="T181" s="17"/>
      <c r="U181" s="17"/>
      <c r="V181" s="118"/>
      <c r="W181" s="53"/>
      <c r="X181" s="6"/>
      <c r="Z181" s="1"/>
      <c r="AA181" s="1"/>
    </row>
    <row r="182" spans="1:27" s="4" customFormat="1" ht="12.75" customHeight="1">
      <c r="A182" s="1"/>
      <c r="B182" s="5"/>
      <c r="C182" s="285" t="str">
        <f>"b) Baseline (Reserved Instance) Usage Expense - "&amp;Main!C99</f>
        <v>b) Baseline (Reserved Instance) Usage Expense - Linux/Unix</v>
      </c>
      <c r="D182" s="58"/>
      <c r="E182" s="6"/>
      <c r="F182" s="58"/>
      <c r="H182" s="8"/>
      <c r="I182" s="17"/>
      <c r="J182" s="8"/>
      <c r="K182" s="16"/>
      <c r="L182" s="12"/>
      <c r="M182" s="17"/>
      <c r="N182" s="6"/>
      <c r="O182" s="17"/>
      <c r="P182" s="12"/>
      <c r="Q182" s="17"/>
      <c r="R182" s="6"/>
      <c r="S182" s="17"/>
      <c r="T182" s="17"/>
      <c r="U182" s="17"/>
      <c r="V182" s="118"/>
      <c r="W182" s="53"/>
      <c r="X182" s="6"/>
      <c r="Z182" s="1"/>
      <c r="AA182" s="1"/>
    </row>
    <row r="183" spans="1:27" s="4" customFormat="1" ht="12.75" customHeight="1">
      <c r="A183" s="1"/>
      <c r="B183" s="5"/>
      <c r="C183" s="129"/>
      <c r="D183" s="58"/>
      <c r="E183" s="6"/>
      <c r="F183" s="6"/>
      <c r="H183" s="8"/>
      <c r="I183" s="17"/>
      <c r="J183" s="8"/>
      <c r="K183" s="16"/>
      <c r="L183" s="12"/>
      <c r="M183" s="17"/>
      <c r="O183" s="17"/>
      <c r="P183" s="12"/>
      <c r="Q183" s="17"/>
      <c r="S183" s="17"/>
      <c r="T183" s="17"/>
      <c r="U183" s="17"/>
      <c r="V183" s="118"/>
      <c r="W183" s="53"/>
      <c r="X183" s="6"/>
      <c r="Z183" s="1"/>
      <c r="AA183" s="1"/>
    </row>
    <row r="184" spans="1:27" s="4" customFormat="1" ht="51">
      <c r="A184" s="1"/>
      <c r="B184" s="5"/>
      <c r="C184" s="427" t="s">
        <v>400</v>
      </c>
      <c r="D184" s="61" t="s">
        <v>369</v>
      </c>
      <c r="E184" s="6" t="s">
        <v>18</v>
      </c>
      <c r="F184" s="59" t="s">
        <v>393</v>
      </c>
      <c r="G184" s="17" t="s">
        <v>270</v>
      </c>
      <c r="H184" s="61" t="s">
        <v>394</v>
      </c>
      <c r="I184" s="17" t="s">
        <v>270</v>
      </c>
      <c r="J184" s="61" t="s">
        <v>395</v>
      </c>
      <c r="K184" s="7" t="s">
        <v>29</v>
      </c>
      <c r="L184" s="59" t="s">
        <v>405</v>
      </c>
      <c r="M184" s="17"/>
      <c r="N184" s="59" t="s">
        <v>406</v>
      </c>
      <c r="O184" s="16"/>
      <c r="P184" s="59" t="s">
        <v>408</v>
      </c>
      <c r="S184" s="17"/>
      <c r="T184" s="45"/>
      <c r="U184" s="17"/>
      <c r="V184" s="107"/>
      <c r="W184" s="53"/>
      <c r="X184" s="6"/>
      <c r="Z184" s="1"/>
      <c r="AA184" s="1"/>
    </row>
    <row r="185" spans="1:27" s="4" customFormat="1" ht="12.75" customHeight="1">
      <c r="A185" s="1"/>
      <c r="B185" s="5"/>
      <c r="C185" s="182" t="s">
        <v>336</v>
      </c>
      <c r="D185" s="58">
        <f aca="true" t="shared" si="18" ref="D185:D192">D45*L45*8736</f>
        <v>1965600</v>
      </c>
      <c r="E185" s="6"/>
      <c r="F185" s="397">
        <f ca="1">OFFSET(D123,(Main!$C$98-1)*24,0)</f>
        <v>0.039</v>
      </c>
      <c r="H185" s="397">
        <f ca="1">OFFSET(H123,(Main!$C$98-1)*24,0)</f>
        <v>0.024</v>
      </c>
      <c r="J185" s="397">
        <f ca="1">OFFSET(L123,(Main!$C$98-1)*24,0)</f>
        <v>0.016</v>
      </c>
      <c r="K185" s="17"/>
      <c r="L185" s="8">
        <f aca="true" t="shared" si="19" ref="L185:L192">$D185*F185</f>
        <v>76658.4</v>
      </c>
      <c r="M185" s="17"/>
      <c r="N185" s="8">
        <f aca="true" t="shared" si="20" ref="N185:N192">$D185*H185</f>
        <v>47174.4</v>
      </c>
      <c r="O185" s="17"/>
      <c r="P185" s="8">
        <f aca="true" t="shared" si="21" ref="P185:P192">D45*8736*J185</f>
        <v>41932.8</v>
      </c>
      <c r="S185" s="17"/>
      <c r="T185" s="8"/>
      <c r="U185" s="17"/>
      <c r="V185" s="107"/>
      <c r="W185" s="53"/>
      <c r="X185" s="6"/>
      <c r="Z185" s="1"/>
      <c r="AA185" s="1"/>
    </row>
    <row r="186" spans="1:27" s="4" customFormat="1" ht="12.75" customHeight="1">
      <c r="A186" s="1"/>
      <c r="B186" s="5"/>
      <c r="C186" s="182" t="s">
        <v>337</v>
      </c>
      <c r="D186" s="58">
        <f t="shared" si="18"/>
        <v>0</v>
      </c>
      <c r="E186" s="6"/>
      <c r="F186" s="397">
        <f ca="1">OFFSET(D124,(Main!$C$98-1)*24,0)</f>
        <v>0.156</v>
      </c>
      <c r="H186" s="397">
        <f ca="1">OFFSET(H124,(Main!$C$98-1)*24,0)</f>
        <v>0.096</v>
      </c>
      <c r="J186" s="397">
        <f ca="1">OFFSET(L124,(Main!$C$98-1)*24,0)</f>
        <v>0.064</v>
      </c>
      <c r="K186" s="17"/>
      <c r="L186" s="8">
        <f t="shared" si="19"/>
        <v>0</v>
      </c>
      <c r="M186" s="17"/>
      <c r="N186" s="8">
        <f t="shared" si="20"/>
        <v>0</v>
      </c>
      <c r="O186" s="17"/>
      <c r="P186" s="8">
        <f t="shared" si="21"/>
        <v>0</v>
      </c>
      <c r="S186" s="17"/>
      <c r="T186" s="8"/>
      <c r="U186" s="17"/>
      <c r="V186" s="107"/>
      <c r="W186" s="53"/>
      <c r="X186" s="6"/>
      <c r="Z186" s="1"/>
      <c r="AA186" s="1"/>
    </row>
    <row r="187" spans="1:27" s="4" customFormat="1" ht="12.75" customHeight="1">
      <c r="A187" s="1"/>
      <c r="B187" s="5"/>
      <c r="C187" s="182" t="s">
        <v>338</v>
      </c>
      <c r="D187" s="58">
        <f t="shared" si="18"/>
        <v>0</v>
      </c>
      <c r="E187" s="6"/>
      <c r="F187" s="397">
        <f ca="1">OFFSET(D125,(Main!$C$98-1)*24,0)</f>
        <v>0.312</v>
      </c>
      <c r="H187" s="397">
        <f ca="1">OFFSET(H125,(Main!$C$98-1)*24,0)</f>
        <v>0.192</v>
      </c>
      <c r="J187" s="397">
        <f ca="1">OFFSET(L125,(Main!$C$98-1)*24,0)</f>
        <v>0.128</v>
      </c>
      <c r="K187" s="17"/>
      <c r="L187" s="8">
        <f t="shared" si="19"/>
        <v>0</v>
      </c>
      <c r="M187" s="17"/>
      <c r="N187" s="8">
        <f t="shared" si="20"/>
        <v>0</v>
      </c>
      <c r="O187" s="17"/>
      <c r="P187" s="8">
        <f t="shared" si="21"/>
        <v>0</v>
      </c>
      <c r="S187" s="17"/>
      <c r="T187" s="8"/>
      <c r="U187" s="17"/>
      <c r="V187" s="107"/>
      <c r="W187" s="53"/>
      <c r="X187" s="6"/>
      <c r="Z187" s="1"/>
      <c r="AA187" s="1"/>
    </row>
    <row r="188" spans="1:27" s="4" customFormat="1" ht="12.75" customHeight="1">
      <c r="A188" s="1"/>
      <c r="B188" s="5"/>
      <c r="C188" s="182" t="s">
        <v>377</v>
      </c>
      <c r="D188" s="58">
        <f t="shared" si="18"/>
        <v>0</v>
      </c>
      <c r="E188" s="6"/>
      <c r="F188" s="397">
        <f ca="1">OFFSET(D126,(Main!$C$98-1)*24,0)</f>
        <v>0.22</v>
      </c>
      <c r="H188" s="397">
        <f ca="1">OFFSET(H126,(Main!$C$98-1)*24,0)</f>
        <v>0.133</v>
      </c>
      <c r="J188" s="397">
        <f ca="1">OFFSET(L126,(Main!$C$98-1)*24,0)</f>
        <v>0.088</v>
      </c>
      <c r="K188" s="17"/>
      <c r="L188" s="8">
        <f t="shared" si="19"/>
        <v>0</v>
      </c>
      <c r="M188" s="17"/>
      <c r="N188" s="8">
        <f t="shared" si="20"/>
        <v>0</v>
      </c>
      <c r="O188" s="17"/>
      <c r="P188" s="8">
        <f t="shared" si="21"/>
        <v>0</v>
      </c>
      <c r="S188" s="17"/>
      <c r="T188" s="8"/>
      <c r="U188" s="17"/>
      <c r="V188" s="107"/>
      <c r="W188" s="53"/>
      <c r="X188" s="6"/>
      <c r="Z188" s="1"/>
      <c r="AA188" s="1"/>
    </row>
    <row r="189" spans="1:27" s="4" customFormat="1" ht="12.75" customHeight="1">
      <c r="A189" s="1"/>
      <c r="B189" s="5"/>
      <c r="C189" s="182" t="s">
        <v>334</v>
      </c>
      <c r="D189" s="58">
        <f t="shared" si="18"/>
        <v>0</v>
      </c>
      <c r="E189" s="6"/>
      <c r="F189" s="397">
        <f ca="1">OFFSET(D127,(Main!$C$98-1)*24,0)</f>
        <v>0.44</v>
      </c>
      <c r="H189" s="397">
        <f ca="1">OFFSET(H127,(Main!$C$98-1)*24,0)</f>
        <v>0.266</v>
      </c>
      <c r="J189" s="397">
        <f ca="1">OFFSET(L127,(Main!$C$98-1)*24,0)</f>
        <v>0.176</v>
      </c>
      <c r="K189" s="17"/>
      <c r="L189" s="8">
        <f t="shared" si="19"/>
        <v>0</v>
      </c>
      <c r="M189" s="17"/>
      <c r="N189" s="8">
        <f t="shared" si="20"/>
        <v>0</v>
      </c>
      <c r="O189" s="17"/>
      <c r="P189" s="8">
        <f t="shared" si="21"/>
        <v>0</v>
      </c>
      <c r="S189" s="17"/>
      <c r="T189" s="8"/>
      <c r="U189" s="17"/>
      <c r="V189" s="107"/>
      <c r="W189" s="53"/>
      <c r="X189" s="6"/>
      <c r="Z189" s="1"/>
      <c r="AA189" s="1"/>
    </row>
    <row r="190" spans="1:27" s="4" customFormat="1" ht="12.75" customHeight="1">
      <c r="A190" s="1"/>
      <c r="B190" s="5"/>
      <c r="C190" s="182" t="s">
        <v>335</v>
      </c>
      <c r="D190" s="58">
        <f t="shared" si="18"/>
        <v>0</v>
      </c>
      <c r="E190" s="6"/>
      <c r="F190" s="397">
        <f ca="1">OFFSET(D128,(Main!$C$98-1)*24,0)</f>
        <v>0.88</v>
      </c>
      <c r="H190" s="397">
        <f ca="1">OFFSET(H128,(Main!$C$98-1)*24,0)</f>
        <v>0.532</v>
      </c>
      <c r="J190" s="397">
        <f ca="1">OFFSET(L128,(Main!$C$98-1)*24,0)</f>
        <v>0.352</v>
      </c>
      <c r="K190" s="17"/>
      <c r="L190" s="8">
        <f t="shared" si="19"/>
        <v>0</v>
      </c>
      <c r="M190" s="17"/>
      <c r="N190" s="8">
        <f t="shared" si="20"/>
        <v>0</v>
      </c>
      <c r="O190" s="17"/>
      <c r="P190" s="8">
        <f t="shared" si="21"/>
        <v>0</v>
      </c>
      <c r="S190" s="17"/>
      <c r="T190" s="8"/>
      <c r="U190" s="17"/>
      <c r="V190" s="107"/>
      <c r="W190" s="53"/>
      <c r="X190" s="6"/>
      <c r="Z190" s="1"/>
      <c r="AA190" s="1"/>
    </row>
    <row r="191" spans="1:27" s="4" customFormat="1" ht="12.75" customHeight="1">
      <c r="A191" s="1"/>
      <c r="B191" s="5"/>
      <c r="C191" s="182" t="s">
        <v>339</v>
      </c>
      <c r="D191" s="58">
        <f t="shared" si="18"/>
        <v>0</v>
      </c>
      <c r="E191" s="6"/>
      <c r="F191" s="397">
        <f ca="1">OFFSET(D129,(Main!$C$98-1)*24,0)</f>
        <v>0.1</v>
      </c>
      <c r="H191" s="397">
        <f ca="1">OFFSET(H129,(Main!$C$98-1)*24,0)</f>
        <v>0.06</v>
      </c>
      <c r="J191" s="397">
        <f ca="1">OFFSET(L129,(Main!$C$98-1)*24,0)</f>
        <v>0.04</v>
      </c>
      <c r="K191" s="17"/>
      <c r="L191" s="8">
        <f t="shared" si="19"/>
        <v>0</v>
      </c>
      <c r="M191" s="17"/>
      <c r="N191" s="8">
        <f t="shared" si="20"/>
        <v>0</v>
      </c>
      <c r="O191" s="17"/>
      <c r="P191" s="8">
        <f t="shared" si="21"/>
        <v>0</v>
      </c>
      <c r="S191" s="17"/>
      <c r="T191" s="8"/>
      <c r="U191" s="17"/>
      <c r="V191" s="107"/>
      <c r="W191" s="53"/>
      <c r="X191" s="6"/>
      <c r="Z191" s="1"/>
      <c r="AA191" s="1"/>
    </row>
    <row r="192" spans="1:27" s="4" customFormat="1" ht="12.75" customHeight="1">
      <c r="A192" s="1"/>
      <c r="B192" s="5"/>
      <c r="C192" s="182" t="s">
        <v>340</v>
      </c>
      <c r="D192" s="135">
        <f t="shared" si="18"/>
        <v>0</v>
      </c>
      <c r="E192" s="6"/>
      <c r="F192" s="397">
        <f ca="1">OFFSET(D130,(Main!$C$98-1)*24,0)</f>
        <v>0.4</v>
      </c>
      <c r="H192" s="397">
        <f ca="1">OFFSET(H130,(Main!$C$98-1)*24,0)</f>
        <v>0.24</v>
      </c>
      <c r="J192" s="397">
        <f ca="1">OFFSET(L130,(Main!$C$98-1)*24,0)</f>
        <v>0.16</v>
      </c>
      <c r="K192" s="17"/>
      <c r="L192" s="248">
        <f t="shared" si="19"/>
        <v>0</v>
      </c>
      <c r="M192" s="17"/>
      <c r="N192" s="248">
        <f t="shared" si="20"/>
        <v>0</v>
      </c>
      <c r="O192" s="17"/>
      <c r="P192" s="248">
        <f t="shared" si="21"/>
        <v>0</v>
      </c>
      <c r="S192" s="17"/>
      <c r="T192" s="8"/>
      <c r="U192" s="17"/>
      <c r="V192" s="107"/>
      <c r="W192" s="53"/>
      <c r="X192" s="6"/>
      <c r="Z192" s="1"/>
      <c r="AA192" s="1"/>
    </row>
    <row r="193" spans="1:27" s="4" customFormat="1" ht="12.75" customHeight="1">
      <c r="A193" s="1"/>
      <c r="B193" s="5"/>
      <c r="C193" s="182"/>
      <c r="D193" s="58">
        <f>SUM(D185:D192)</f>
        <v>1965600</v>
      </c>
      <c r="E193" s="6"/>
      <c r="J193" s="130"/>
      <c r="K193" s="17"/>
      <c r="L193" s="130">
        <f>SUM(L185:L192)</f>
        <v>76658.4</v>
      </c>
      <c r="M193" s="17"/>
      <c r="N193" s="130">
        <f>SUM(N185:N192)</f>
        <v>47174.4</v>
      </c>
      <c r="O193" s="17"/>
      <c r="P193" s="130">
        <f>SUM(P185:P192)</f>
        <v>41932.8</v>
      </c>
      <c r="S193" s="17"/>
      <c r="T193" s="130"/>
      <c r="U193" s="17"/>
      <c r="V193" s="107"/>
      <c r="W193" s="53"/>
      <c r="X193" s="6"/>
      <c r="Z193" s="1"/>
      <c r="AA193" s="1"/>
    </row>
    <row r="194" spans="1:27" s="4" customFormat="1" ht="12.75" customHeight="1">
      <c r="A194" s="1"/>
      <c r="B194" s="5"/>
      <c r="C194" s="129"/>
      <c r="D194" s="58"/>
      <c r="E194" s="6"/>
      <c r="F194" s="6"/>
      <c r="H194" s="8"/>
      <c r="I194" s="17"/>
      <c r="J194" s="8"/>
      <c r="K194" s="16"/>
      <c r="L194" s="12"/>
      <c r="M194" s="17"/>
      <c r="O194" s="17"/>
      <c r="P194" s="12"/>
      <c r="Q194" s="17"/>
      <c r="S194" s="17"/>
      <c r="T194" s="17"/>
      <c r="U194" s="17"/>
      <c r="V194" s="118"/>
      <c r="W194" s="53"/>
      <c r="X194" s="6"/>
      <c r="Z194" s="1"/>
      <c r="AA194" s="1"/>
    </row>
    <row r="195" spans="1:27" s="4" customFormat="1" ht="51">
      <c r="A195" s="1"/>
      <c r="B195" s="5"/>
      <c r="C195" s="427" t="s">
        <v>407</v>
      </c>
      <c r="D195" s="61" t="s">
        <v>369</v>
      </c>
      <c r="E195" s="6" t="s">
        <v>18</v>
      </c>
      <c r="F195" s="59" t="s">
        <v>393</v>
      </c>
      <c r="G195" s="17" t="s">
        <v>270</v>
      </c>
      <c r="H195" s="61" t="s">
        <v>394</v>
      </c>
      <c r="I195" s="17" t="s">
        <v>270</v>
      </c>
      <c r="J195" s="61" t="s">
        <v>395</v>
      </c>
      <c r="K195" s="7" t="s">
        <v>29</v>
      </c>
      <c r="L195" s="59" t="s">
        <v>405</v>
      </c>
      <c r="M195" s="17"/>
      <c r="N195" s="59" t="s">
        <v>406</v>
      </c>
      <c r="O195" s="16"/>
      <c r="P195" s="59" t="s">
        <v>408</v>
      </c>
      <c r="S195" s="17"/>
      <c r="T195" s="45"/>
      <c r="U195" s="17"/>
      <c r="V195" s="107"/>
      <c r="W195" s="53"/>
      <c r="X195" s="6"/>
      <c r="Z195" s="1"/>
      <c r="AA195" s="1"/>
    </row>
    <row r="196" spans="1:27" s="4" customFormat="1" ht="12.75" customHeight="1">
      <c r="A196" s="1"/>
      <c r="B196" s="5"/>
      <c r="C196" s="182" t="s">
        <v>336</v>
      </c>
      <c r="D196" s="58">
        <f aca="true" t="shared" si="22" ref="D196:D203">D45*L45*8736</f>
        <v>1965600</v>
      </c>
      <c r="E196" s="6"/>
      <c r="F196" s="397">
        <f ca="1">OFFSET(F123,(Main!$C$98-1)*24,0)</f>
        <v>0.031</v>
      </c>
      <c r="H196" s="397">
        <f ca="1">OFFSET(J123,(Main!$C$98-1)*24,0)</f>
        <v>0.019</v>
      </c>
      <c r="J196" s="397">
        <f ca="1">OFFSET(N123,(Main!$C$98-1)*24,0)</f>
        <v>0.013</v>
      </c>
      <c r="K196" s="17"/>
      <c r="L196" s="8">
        <f aca="true" t="shared" si="23" ref="L196:L203">$D196*F196</f>
        <v>60933.6</v>
      </c>
      <c r="M196" s="17"/>
      <c r="N196" s="8">
        <f aca="true" t="shared" si="24" ref="N196:N203">$D196*H196</f>
        <v>37346.4</v>
      </c>
      <c r="O196" s="17"/>
      <c r="P196" s="8">
        <f aca="true" t="shared" si="25" ref="P196:P203">D45*8736*J196</f>
        <v>34070.4</v>
      </c>
      <c r="S196" s="17"/>
      <c r="T196" s="8"/>
      <c r="U196" s="17"/>
      <c r="V196" s="107"/>
      <c r="W196" s="53"/>
      <c r="X196" s="6"/>
      <c r="Z196" s="1"/>
      <c r="AA196" s="1"/>
    </row>
    <row r="197" spans="1:27" s="4" customFormat="1" ht="12.75" customHeight="1">
      <c r="A197" s="1"/>
      <c r="B197" s="5"/>
      <c r="C197" s="182" t="s">
        <v>337</v>
      </c>
      <c r="D197" s="58">
        <f t="shared" si="22"/>
        <v>0</v>
      </c>
      <c r="E197" s="6"/>
      <c r="F197" s="397">
        <f ca="1">OFFSET(F124,(Main!$C$98-1)*24,0)</f>
        <v>0.124</v>
      </c>
      <c r="H197" s="397">
        <f ca="1">OFFSET(J124,(Main!$C$98-1)*24,0)</f>
        <v>0.076</v>
      </c>
      <c r="J197" s="397">
        <f ca="1">OFFSET(N124,(Main!$C$98-1)*24,0)</f>
        <v>0.052</v>
      </c>
      <c r="K197" s="17"/>
      <c r="L197" s="8">
        <f t="shared" si="23"/>
        <v>0</v>
      </c>
      <c r="M197" s="17"/>
      <c r="N197" s="8">
        <f t="shared" si="24"/>
        <v>0</v>
      </c>
      <c r="O197" s="17"/>
      <c r="P197" s="8">
        <f t="shared" si="25"/>
        <v>0</v>
      </c>
      <c r="S197" s="17"/>
      <c r="T197" s="8"/>
      <c r="U197" s="17"/>
      <c r="V197" s="107"/>
      <c r="W197" s="53"/>
      <c r="X197" s="6"/>
      <c r="Z197" s="1"/>
      <c r="AA197" s="1"/>
    </row>
    <row r="198" spans="1:27" s="4" customFormat="1" ht="12.75" customHeight="1">
      <c r="A198" s="1"/>
      <c r="B198" s="5"/>
      <c r="C198" s="182" t="s">
        <v>338</v>
      </c>
      <c r="D198" s="58">
        <f t="shared" si="22"/>
        <v>0</v>
      </c>
      <c r="E198" s="6"/>
      <c r="F198" s="397">
        <f ca="1">OFFSET(F125,(Main!$C$98-1)*24,0)</f>
        <v>0.248</v>
      </c>
      <c r="H198" s="397">
        <f ca="1">OFFSET(J125,(Main!$C$98-1)*24,0)</f>
        <v>0.152</v>
      </c>
      <c r="J198" s="397">
        <f ca="1">OFFSET(N125,(Main!$C$98-1)*24,0)</f>
        <v>0.104</v>
      </c>
      <c r="K198" s="17"/>
      <c r="L198" s="8">
        <f t="shared" si="23"/>
        <v>0</v>
      </c>
      <c r="M198" s="17"/>
      <c r="N198" s="8">
        <f t="shared" si="24"/>
        <v>0</v>
      </c>
      <c r="O198" s="17"/>
      <c r="P198" s="8">
        <f t="shared" si="25"/>
        <v>0</v>
      </c>
      <c r="S198" s="17"/>
      <c r="T198" s="8"/>
      <c r="U198" s="17"/>
      <c r="V198" s="107"/>
      <c r="W198" s="53"/>
      <c r="X198" s="6"/>
      <c r="Z198" s="1"/>
      <c r="AA198" s="1"/>
    </row>
    <row r="199" spans="1:27" s="4" customFormat="1" ht="12.75" customHeight="1">
      <c r="A199" s="1"/>
      <c r="B199" s="5"/>
      <c r="C199" s="182" t="s">
        <v>377</v>
      </c>
      <c r="D199" s="58">
        <f t="shared" si="22"/>
        <v>0</v>
      </c>
      <c r="E199" s="6"/>
      <c r="F199" s="397">
        <f ca="1">OFFSET(F126,(Main!$C$98-1)*24,0)</f>
        <v>0.175</v>
      </c>
      <c r="H199" s="397">
        <f ca="1">OFFSET(J126,(Main!$C$98-1)*24,0)</f>
        <v>0.105</v>
      </c>
      <c r="J199" s="397">
        <f ca="1">OFFSET(N126,(Main!$C$98-1)*24,0)</f>
        <v>0.07</v>
      </c>
      <c r="K199" s="17"/>
      <c r="L199" s="8">
        <f t="shared" si="23"/>
        <v>0</v>
      </c>
      <c r="M199" s="17"/>
      <c r="N199" s="8">
        <f t="shared" si="24"/>
        <v>0</v>
      </c>
      <c r="O199" s="17"/>
      <c r="P199" s="8">
        <f t="shared" si="25"/>
        <v>0</v>
      </c>
      <c r="S199" s="17"/>
      <c r="T199" s="8"/>
      <c r="U199" s="17"/>
      <c r="V199" s="107"/>
      <c r="W199" s="53"/>
      <c r="X199" s="6"/>
      <c r="Z199" s="1"/>
      <c r="AA199" s="1"/>
    </row>
    <row r="200" spans="1:27" s="4" customFormat="1" ht="12.75" customHeight="1">
      <c r="A200" s="1"/>
      <c r="B200" s="5"/>
      <c r="C200" s="182" t="s">
        <v>334</v>
      </c>
      <c r="D200" s="58">
        <f t="shared" si="22"/>
        <v>0</v>
      </c>
      <c r="E200" s="6"/>
      <c r="F200" s="397">
        <f ca="1">OFFSET(F127,(Main!$C$98-1)*24,0)</f>
        <v>0.35</v>
      </c>
      <c r="H200" s="397">
        <f ca="1">OFFSET(J127,(Main!$C$98-1)*24,0)</f>
        <v>0.21</v>
      </c>
      <c r="J200" s="397">
        <f ca="1">OFFSET(N127,(Main!$C$98-1)*24,0)</f>
        <v>0.14</v>
      </c>
      <c r="K200" s="17"/>
      <c r="L200" s="8">
        <f t="shared" si="23"/>
        <v>0</v>
      </c>
      <c r="M200" s="17"/>
      <c r="N200" s="8">
        <f t="shared" si="24"/>
        <v>0</v>
      </c>
      <c r="O200" s="17"/>
      <c r="P200" s="8">
        <f t="shared" si="25"/>
        <v>0</v>
      </c>
      <c r="S200" s="17"/>
      <c r="T200" s="8"/>
      <c r="U200" s="17"/>
      <c r="V200" s="107"/>
      <c r="W200" s="53"/>
      <c r="X200" s="6"/>
      <c r="Z200" s="1"/>
      <c r="AA200" s="1"/>
    </row>
    <row r="201" spans="1:27" s="4" customFormat="1" ht="12.75" customHeight="1">
      <c r="A201" s="1"/>
      <c r="B201" s="5"/>
      <c r="C201" s="182" t="s">
        <v>335</v>
      </c>
      <c r="D201" s="58">
        <f t="shared" si="22"/>
        <v>0</v>
      </c>
      <c r="E201" s="6"/>
      <c r="F201" s="397">
        <f ca="1">OFFSET(F128,(Main!$C$98-1)*24,0)</f>
        <v>0.7</v>
      </c>
      <c r="H201" s="397">
        <f ca="1">OFFSET(J128,(Main!$C$98-1)*24,0)</f>
        <v>0.42</v>
      </c>
      <c r="J201" s="397">
        <f ca="1">OFFSET(N128,(Main!$C$98-1)*24,0)</f>
        <v>0.28</v>
      </c>
      <c r="K201" s="17"/>
      <c r="L201" s="8">
        <f t="shared" si="23"/>
        <v>0</v>
      </c>
      <c r="M201" s="17"/>
      <c r="N201" s="8">
        <f t="shared" si="24"/>
        <v>0</v>
      </c>
      <c r="O201" s="17"/>
      <c r="P201" s="8">
        <f t="shared" si="25"/>
        <v>0</v>
      </c>
      <c r="S201" s="17"/>
      <c r="T201" s="8"/>
      <c r="U201" s="17"/>
      <c r="V201" s="107"/>
      <c r="W201" s="53"/>
      <c r="X201" s="6"/>
      <c r="Z201" s="1"/>
      <c r="AA201" s="1"/>
    </row>
    <row r="202" spans="1:27" s="4" customFormat="1" ht="12.75" customHeight="1">
      <c r="A202" s="1"/>
      <c r="B202" s="5"/>
      <c r="C202" s="182" t="s">
        <v>339</v>
      </c>
      <c r="D202" s="58">
        <f t="shared" si="22"/>
        <v>0</v>
      </c>
      <c r="E202" s="6"/>
      <c r="F202" s="397">
        <f ca="1">OFFSET(F129,(Main!$C$98-1)*24,0)</f>
        <v>0.088</v>
      </c>
      <c r="H202" s="397">
        <f ca="1">OFFSET(J129,(Main!$C$98-1)*24,0)</f>
        <v>0.053</v>
      </c>
      <c r="J202" s="397">
        <f ca="1">OFFSET(N129,(Main!$C$98-1)*24,0)</f>
        <v>0.035</v>
      </c>
      <c r="K202" s="17"/>
      <c r="L202" s="8">
        <f t="shared" si="23"/>
        <v>0</v>
      </c>
      <c r="M202" s="17"/>
      <c r="N202" s="8">
        <f t="shared" si="24"/>
        <v>0</v>
      </c>
      <c r="O202" s="17"/>
      <c r="P202" s="8">
        <f t="shared" si="25"/>
        <v>0</v>
      </c>
      <c r="S202" s="17"/>
      <c r="T202" s="8"/>
      <c r="U202" s="17"/>
      <c r="V202" s="107"/>
      <c r="W202" s="53"/>
      <c r="X202" s="6"/>
      <c r="Z202" s="1"/>
      <c r="AA202" s="1"/>
    </row>
    <row r="203" spans="1:27" s="4" customFormat="1" ht="12.75" customHeight="1">
      <c r="A203" s="1"/>
      <c r="B203" s="5"/>
      <c r="C203" s="182" t="s">
        <v>340</v>
      </c>
      <c r="D203" s="135">
        <f t="shared" si="22"/>
        <v>0</v>
      </c>
      <c r="E203" s="6"/>
      <c r="F203" s="397">
        <f ca="1">OFFSET(F130,(Main!$C$98-1)*24,0)</f>
        <v>0.352</v>
      </c>
      <c r="H203" s="397">
        <f ca="1">OFFSET(J130,(Main!$C$98-1)*24,0)</f>
        <v>0.212</v>
      </c>
      <c r="J203" s="397">
        <f ca="1">OFFSET(N130,(Main!$C$98-1)*24,0)</f>
        <v>0.14</v>
      </c>
      <c r="K203" s="17"/>
      <c r="L203" s="248">
        <f t="shared" si="23"/>
        <v>0</v>
      </c>
      <c r="M203" s="17"/>
      <c r="N203" s="248">
        <f t="shared" si="24"/>
        <v>0</v>
      </c>
      <c r="O203" s="17"/>
      <c r="P203" s="248">
        <f t="shared" si="25"/>
        <v>0</v>
      </c>
      <c r="S203" s="17"/>
      <c r="T203" s="8"/>
      <c r="U203" s="17"/>
      <c r="V203" s="107"/>
      <c r="W203" s="53"/>
      <c r="X203" s="6"/>
      <c r="Z203" s="1"/>
      <c r="AA203" s="1"/>
    </row>
    <row r="204" spans="1:27" s="4" customFormat="1" ht="12.75" customHeight="1">
      <c r="A204" s="1"/>
      <c r="B204" s="5"/>
      <c r="C204" s="182"/>
      <c r="D204" s="58">
        <f>SUM(D196:D203)</f>
        <v>1965600</v>
      </c>
      <c r="E204" s="6"/>
      <c r="J204" s="130"/>
      <c r="K204" s="17"/>
      <c r="L204" s="130">
        <f>SUM(L196:L203)</f>
        <v>60933.6</v>
      </c>
      <c r="M204" s="17"/>
      <c r="N204" s="130">
        <f>SUM(N196:N203)</f>
        <v>37346.4</v>
      </c>
      <c r="O204" s="17"/>
      <c r="P204" s="130">
        <f>SUM(P196:P203)</f>
        <v>34070.4</v>
      </c>
      <c r="S204" s="17"/>
      <c r="T204" s="130"/>
      <c r="U204" s="17"/>
      <c r="V204" s="107"/>
      <c r="W204" s="53"/>
      <c r="X204" s="6"/>
      <c r="Z204" s="1"/>
      <c r="AA204" s="1"/>
    </row>
    <row r="205" spans="1:27" s="4" customFormat="1" ht="12.75" customHeight="1">
      <c r="A205" s="1"/>
      <c r="B205" s="5"/>
      <c r="C205" s="129"/>
      <c r="D205" s="58"/>
      <c r="E205" s="6"/>
      <c r="F205" s="58"/>
      <c r="H205" s="8"/>
      <c r="I205" s="17"/>
      <c r="J205" s="8"/>
      <c r="K205" s="16"/>
      <c r="L205" s="12"/>
      <c r="M205" s="17"/>
      <c r="N205" s="6"/>
      <c r="O205" s="17"/>
      <c r="P205" s="12"/>
      <c r="Q205" s="17"/>
      <c r="R205" s="6"/>
      <c r="S205" s="17"/>
      <c r="T205" s="17"/>
      <c r="U205" s="17"/>
      <c r="V205" s="118"/>
      <c r="W205" s="53"/>
      <c r="X205" s="6"/>
      <c r="Z205" s="1"/>
      <c r="AA205" s="1"/>
    </row>
    <row r="206" spans="1:27" s="4" customFormat="1" ht="12.75" customHeight="1">
      <c r="A206" s="1"/>
      <c r="B206" s="5"/>
      <c r="C206" s="129"/>
      <c r="D206" s="272" t="s">
        <v>364</v>
      </c>
      <c r="E206" s="6"/>
      <c r="F206" s="58"/>
      <c r="H206" s="8"/>
      <c r="I206" s="17"/>
      <c r="J206" s="8"/>
      <c r="K206" s="16"/>
      <c r="L206" s="12"/>
      <c r="M206" s="17"/>
      <c r="N206" s="6"/>
      <c r="O206" s="17"/>
      <c r="P206" s="12"/>
      <c r="Q206" s="17"/>
      <c r="R206" s="6"/>
      <c r="S206" s="17"/>
      <c r="T206" s="17"/>
      <c r="U206" s="17"/>
      <c r="V206" s="118"/>
      <c r="W206" s="53"/>
      <c r="X206" s="6"/>
      <c r="Z206" s="1"/>
      <c r="AA206" s="1"/>
    </row>
    <row r="207" spans="1:27" s="4" customFormat="1" ht="12.75" customHeight="1">
      <c r="A207" s="1"/>
      <c r="B207" s="5"/>
      <c r="C207" s="129"/>
      <c r="D207" s="272" t="s">
        <v>409</v>
      </c>
      <c r="E207" s="6"/>
      <c r="F207" s="58"/>
      <c r="H207" s="8"/>
      <c r="I207" s="17"/>
      <c r="J207" s="8"/>
      <c r="K207" s="16"/>
      <c r="L207" s="12"/>
      <c r="M207" s="17"/>
      <c r="N207" s="6"/>
      <c r="O207" s="17"/>
      <c r="P207" s="12"/>
      <c r="Q207" s="17"/>
      <c r="R207" s="6"/>
      <c r="S207" s="17"/>
      <c r="T207" s="17"/>
      <c r="U207" s="17"/>
      <c r="V207" s="118"/>
      <c r="W207" s="53"/>
      <c r="X207" s="6"/>
      <c r="Z207" s="1"/>
      <c r="AA207" s="1"/>
    </row>
    <row r="208" spans="1:27" s="4" customFormat="1" ht="12.75" customHeight="1">
      <c r="A208" s="1"/>
      <c r="B208" s="5"/>
      <c r="C208" s="129"/>
      <c r="D208" s="58"/>
      <c r="E208" s="6"/>
      <c r="F208" s="58"/>
      <c r="H208" s="8"/>
      <c r="I208" s="17"/>
      <c r="J208" s="8"/>
      <c r="K208" s="16"/>
      <c r="L208" s="12"/>
      <c r="M208" s="17"/>
      <c r="N208" s="6"/>
      <c r="O208" s="17"/>
      <c r="P208" s="12"/>
      <c r="Q208" s="17"/>
      <c r="R208" s="6"/>
      <c r="S208" s="17"/>
      <c r="T208" s="17"/>
      <c r="U208" s="17"/>
      <c r="V208" s="118"/>
      <c r="W208" s="53"/>
      <c r="X208" s="6"/>
      <c r="Z208" s="1"/>
      <c r="AA208" s="1"/>
    </row>
    <row r="209" spans="1:27" s="4" customFormat="1" ht="12.75" customHeight="1">
      <c r="A209" s="1"/>
      <c r="B209" s="5"/>
      <c r="C209" s="285" t="str">
        <f>"c) Total Reserve Instance Expense - "&amp;Main!C99</f>
        <v>c) Total Reserve Instance Expense - Linux/Unix</v>
      </c>
      <c r="D209" s="58"/>
      <c r="E209" s="6"/>
      <c r="F209" s="58"/>
      <c r="H209" s="8"/>
      <c r="I209" s="17"/>
      <c r="J209" s="8"/>
      <c r="K209" s="16"/>
      <c r="L209" s="12"/>
      <c r="M209" s="17"/>
      <c r="N209" s="6"/>
      <c r="O209" s="17"/>
      <c r="P209" s="12"/>
      <c r="Q209" s="17"/>
      <c r="R209" s="6"/>
      <c r="S209" s="17"/>
      <c r="T209" s="17"/>
      <c r="U209" s="17"/>
      <c r="V209" s="118"/>
      <c r="W209" s="53"/>
      <c r="X209" s="6"/>
      <c r="Z209" s="1"/>
      <c r="AA209" s="1"/>
    </row>
    <row r="210" spans="1:27" s="4" customFormat="1" ht="12.75" customHeight="1">
      <c r="A210" s="1"/>
      <c r="B210" s="5"/>
      <c r="C210" s="129"/>
      <c r="D210" s="58"/>
      <c r="E210" s="6"/>
      <c r="F210" s="6"/>
      <c r="H210" s="8"/>
      <c r="I210" s="17"/>
      <c r="J210" s="8"/>
      <c r="K210" s="16"/>
      <c r="L210" s="12"/>
      <c r="M210" s="17"/>
      <c r="O210" s="17"/>
      <c r="P210" s="12"/>
      <c r="Q210" s="17"/>
      <c r="S210" s="17"/>
      <c r="T210" s="17"/>
      <c r="U210" s="17"/>
      <c r="V210" s="118"/>
      <c r="W210" s="53"/>
      <c r="X210" s="6"/>
      <c r="Z210" s="1"/>
      <c r="AA210" s="1"/>
    </row>
    <row r="211" spans="1:27" s="4" customFormat="1" ht="38.25">
      <c r="A211" s="1"/>
      <c r="B211" s="5"/>
      <c r="C211" s="427" t="s">
        <v>400</v>
      </c>
      <c r="D211" s="61" t="s">
        <v>416</v>
      </c>
      <c r="E211" s="6"/>
      <c r="F211" s="61" t="s">
        <v>417</v>
      </c>
      <c r="G211" s="17"/>
      <c r="H211" s="61" t="s">
        <v>418</v>
      </c>
      <c r="I211" s="17"/>
      <c r="J211" s="430" t="s">
        <v>428</v>
      </c>
      <c r="K211" s="431"/>
      <c r="L211" s="432"/>
      <c r="M211" s="17"/>
      <c r="N211" s="45"/>
      <c r="O211" s="16"/>
      <c r="P211" s="45"/>
      <c r="S211" s="17"/>
      <c r="T211" s="45"/>
      <c r="U211" s="17"/>
      <c r="V211" s="107"/>
      <c r="W211" s="53"/>
      <c r="X211" s="6"/>
      <c r="Z211" s="1"/>
      <c r="AA211" s="1"/>
    </row>
    <row r="212" spans="1:27" s="4" customFormat="1" ht="12.75" customHeight="1">
      <c r="A212" s="1"/>
      <c r="B212" s="5"/>
      <c r="C212" s="182" t="s">
        <v>336</v>
      </c>
      <c r="D212" s="8">
        <f>L185+L159</f>
        <v>97358.4</v>
      </c>
      <c r="E212" s="6"/>
      <c r="F212" s="8">
        <f aca="true" t="shared" si="26" ref="F212:F219">N185+N159</f>
        <v>95174.4</v>
      </c>
      <c r="H212" s="8">
        <f aca="true" t="shared" si="27" ref="H212:H219">P185+P159</f>
        <v>100432.8</v>
      </c>
      <c r="J212" s="8" t="str">
        <f>IF(SUM(D212:H212)=0,"",IF(L212=D212,"Light",IF(L212=F212,"Medium","Heavy")))</f>
        <v>Medium</v>
      </c>
      <c r="K212" s="17"/>
      <c r="L212" s="8">
        <f aca="true" t="shared" si="28" ref="L212:L218">MIN(D212:H212)</f>
        <v>95174.4</v>
      </c>
      <c r="M212" s="17"/>
      <c r="N212" s="8"/>
      <c r="O212" s="17"/>
      <c r="P212" s="8"/>
      <c r="S212" s="17"/>
      <c r="T212" s="8"/>
      <c r="U212" s="17"/>
      <c r="V212" s="107"/>
      <c r="W212" s="53"/>
      <c r="X212" s="6"/>
      <c r="Z212" s="1"/>
      <c r="AA212" s="1"/>
    </row>
    <row r="213" spans="1:27" s="4" customFormat="1" ht="12.75" customHeight="1">
      <c r="A213" s="1"/>
      <c r="B213" s="5"/>
      <c r="C213" s="182" t="s">
        <v>337</v>
      </c>
      <c r="D213" s="8">
        <f aca="true" t="shared" si="29" ref="D213:D219">L186+L160</f>
        <v>0</v>
      </c>
      <c r="E213" s="6"/>
      <c r="F213" s="8">
        <f t="shared" si="26"/>
        <v>0</v>
      </c>
      <c r="H213" s="8">
        <f t="shared" si="27"/>
        <v>0</v>
      </c>
      <c r="J213" s="8">
        <f aca="true" t="shared" si="30" ref="J213:J219">IF(SUM(D213:H213)=0,"",IF(L213=D213,"Light",IF(L213=F213,"Medium","Heavy")))</f>
      </c>
      <c r="K213" s="17"/>
      <c r="L213" s="8">
        <f t="shared" si="28"/>
        <v>0</v>
      </c>
      <c r="M213" s="17"/>
      <c r="N213" s="8"/>
      <c r="O213" s="17"/>
      <c r="P213" s="8"/>
      <c r="S213" s="17"/>
      <c r="T213" s="8"/>
      <c r="U213" s="17"/>
      <c r="V213" s="107"/>
      <c r="W213" s="53"/>
      <c r="X213" s="6"/>
      <c r="Z213" s="1"/>
      <c r="AA213" s="1"/>
    </row>
    <row r="214" spans="1:27" s="4" customFormat="1" ht="12.75" customHeight="1">
      <c r="A214" s="1"/>
      <c r="B214" s="5"/>
      <c r="C214" s="182" t="s">
        <v>338</v>
      </c>
      <c r="D214" s="8">
        <f t="shared" si="29"/>
        <v>0</v>
      </c>
      <c r="E214" s="6"/>
      <c r="F214" s="8">
        <f t="shared" si="26"/>
        <v>0</v>
      </c>
      <c r="H214" s="8">
        <f t="shared" si="27"/>
        <v>0</v>
      </c>
      <c r="J214" s="8">
        <f t="shared" si="30"/>
      </c>
      <c r="K214" s="17"/>
      <c r="L214" s="8">
        <f t="shared" si="28"/>
        <v>0</v>
      </c>
      <c r="M214" s="17"/>
      <c r="N214" s="8"/>
      <c r="O214" s="17"/>
      <c r="P214" s="8"/>
      <c r="S214" s="17"/>
      <c r="T214" s="8"/>
      <c r="U214" s="17"/>
      <c r="V214" s="107"/>
      <c r="W214" s="53"/>
      <c r="X214" s="6"/>
      <c r="Z214" s="1"/>
      <c r="AA214" s="1"/>
    </row>
    <row r="215" spans="1:27" s="4" customFormat="1" ht="12.75" customHeight="1">
      <c r="A215" s="1"/>
      <c r="B215" s="5"/>
      <c r="C215" s="182" t="s">
        <v>377</v>
      </c>
      <c r="D215" s="8">
        <f t="shared" si="29"/>
        <v>0</v>
      </c>
      <c r="E215" s="6"/>
      <c r="F215" s="8">
        <f t="shared" si="26"/>
        <v>0</v>
      </c>
      <c r="H215" s="8">
        <f t="shared" si="27"/>
        <v>0</v>
      </c>
      <c r="J215" s="8">
        <f t="shared" si="30"/>
      </c>
      <c r="K215" s="17"/>
      <c r="L215" s="8">
        <f t="shared" si="28"/>
        <v>0</v>
      </c>
      <c r="M215" s="17"/>
      <c r="N215" s="8"/>
      <c r="O215" s="17"/>
      <c r="P215" s="8"/>
      <c r="S215" s="17"/>
      <c r="T215" s="8"/>
      <c r="U215" s="17"/>
      <c r="V215" s="107"/>
      <c r="W215" s="53"/>
      <c r="X215" s="6"/>
      <c r="Z215" s="1"/>
      <c r="AA215" s="1"/>
    </row>
    <row r="216" spans="1:27" s="4" customFormat="1" ht="12.75" customHeight="1">
      <c r="A216" s="1"/>
      <c r="B216" s="5"/>
      <c r="C216" s="182" t="s">
        <v>334</v>
      </c>
      <c r="D216" s="8">
        <f t="shared" si="29"/>
        <v>0</v>
      </c>
      <c r="E216" s="6"/>
      <c r="F216" s="8">
        <f t="shared" si="26"/>
        <v>0</v>
      </c>
      <c r="H216" s="8">
        <f t="shared" si="27"/>
        <v>0</v>
      </c>
      <c r="J216" s="8">
        <f t="shared" si="30"/>
      </c>
      <c r="K216" s="17"/>
      <c r="L216" s="8">
        <f t="shared" si="28"/>
        <v>0</v>
      </c>
      <c r="M216" s="17"/>
      <c r="N216" s="8"/>
      <c r="O216" s="17"/>
      <c r="P216" s="8"/>
      <c r="S216" s="17"/>
      <c r="T216" s="8"/>
      <c r="U216" s="17"/>
      <c r="V216" s="107"/>
      <c r="W216" s="53"/>
      <c r="X216" s="6"/>
      <c r="Z216" s="1"/>
      <c r="AA216" s="1"/>
    </row>
    <row r="217" spans="1:27" s="4" customFormat="1" ht="12.75" customHeight="1">
      <c r="A217" s="1"/>
      <c r="B217" s="5"/>
      <c r="C217" s="182" t="s">
        <v>335</v>
      </c>
      <c r="D217" s="8">
        <f t="shared" si="29"/>
        <v>0</v>
      </c>
      <c r="E217" s="6"/>
      <c r="F217" s="8">
        <f t="shared" si="26"/>
        <v>0</v>
      </c>
      <c r="H217" s="8">
        <f t="shared" si="27"/>
        <v>0</v>
      </c>
      <c r="J217" s="8">
        <f t="shared" si="30"/>
      </c>
      <c r="K217" s="17"/>
      <c r="L217" s="8">
        <f t="shared" si="28"/>
        <v>0</v>
      </c>
      <c r="M217" s="17"/>
      <c r="N217" s="8"/>
      <c r="O217" s="17"/>
      <c r="P217" s="8"/>
      <c r="S217" s="17"/>
      <c r="T217" s="8"/>
      <c r="U217" s="17"/>
      <c r="V217" s="107"/>
      <c r="W217" s="53"/>
      <c r="X217" s="6"/>
      <c r="Z217" s="1"/>
      <c r="AA217" s="1"/>
    </row>
    <row r="218" spans="1:27" s="4" customFormat="1" ht="12.75" customHeight="1">
      <c r="A218" s="1"/>
      <c r="B218" s="5"/>
      <c r="C218" s="182" t="s">
        <v>339</v>
      </c>
      <c r="D218" s="8">
        <f t="shared" si="29"/>
        <v>0</v>
      </c>
      <c r="E218" s="6"/>
      <c r="F218" s="8">
        <f t="shared" si="26"/>
        <v>0</v>
      </c>
      <c r="H218" s="8">
        <f t="shared" si="27"/>
        <v>0</v>
      </c>
      <c r="J218" s="8">
        <f t="shared" si="30"/>
      </c>
      <c r="K218" s="17"/>
      <c r="L218" s="8">
        <f t="shared" si="28"/>
        <v>0</v>
      </c>
      <c r="M218" s="17"/>
      <c r="N218" s="8"/>
      <c r="O218" s="17"/>
      <c r="P218" s="8"/>
      <c r="S218" s="17"/>
      <c r="T218" s="8"/>
      <c r="U218" s="17"/>
      <c r="V218" s="107"/>
      <c r="W218" s="53"/>
      <c r="X218" s="6"/>
      <c r="Z218" s="1"/>
      <c r="AA218" s="1"/>
    </row>
    <row r="219" spans="1:27" s="4" customFormat="1" ht="12.75" customHeight="1">
      <c r="A219" s="1"/>
      <c r="B219" s="5"/>
      <c r="C219" s="182" t="s">
        <v>340</v>
      </c>
      <c r="D219" s="8">
        <f t="shared" si="29"/>
        <v>0</v>
      </c>
      <c r="E219" s="6"/>
      <c r="F219" s="8">
        <f t="shared" si="26"/>
        <v>0</v>
      </c>
      <c r="H219" s="8">
        <f t="shared" si="27"/>
        <v>0</v>
      </c>
      <c r="J219" s="8">
        <f t="shared" si="30"/>
      </c>
      <c r="K219" s="17"/>
      <c r="L219" s="248">
        <f>MIN(D219:H219)</f>
        <v>0</v>
      </c>
      <c r="M219" s="17"/>
      <c r="N219" s="8"/>
      <c r="O219" s="17"/>
      <c r="P219" s="8"/>
      <c r="S219" s="17"/>
      <c r="T219" s="8"/>
      <c r="U219" s="17"/>
      <c r="V219" s="107"/>
      <c r="W219" s="53"/>
      <c r="X219" s="6"/>
      <c r="Z219" s="1"/>
      <c r="AA219" s="1"/>
    </row>
    <row r="220" spans="1:27" s="4" customFormat="1" ht="12.75" customHeight="1">
      <c r="A220" s="1"/>
      <c r="B220" s="5"/>
      <c r="C220" s="182"/>
      <c r="D220" s="130"/>
      <c r="E220" s="6"/>
      <c r="F220" s="130"/>
      <c r="H220" s="130"/>
      <c r="J220" s="130"/>
      <c r="K220" s="17"/>
      <c r="L220" s="130">
        <f>SUM(L212:L219)</f>
        <v>95174.4</v>
      </c>
      <c r="M220" s="17"/>
      <c r="N220" s="130"/>
      <c r="O220" s="17"/>
      <c r="P220" s="130"/>
      <c r="S220" s="17"/>
      <c r="T220" s="130"/>
      <c r="U220" s="17"/>
      <c r="V220" s="107"/>
      <c r="W220" s="53"/>
      <c r="X220" s="6"/>
      <c r="Z220" s="1"/>
      <c r="AA220" s="1"/>
    </row>
    <row r="221" spans="1:27" s="4" customFormat="1" ht="12.75" customHeight="1">
      <c r="A221" s="1"/>
      <c r="B221" s="5"/>
      <c r="C221" s="129"/>
      <c r="D221" s="58"/>
      <c r="E221" s="6"/>
      <c r="F221" s="6"/>
      <c r="H221" s="8"/>
      <c r="I221" s="17"/>
      <c r="J221" s="8"/>
      <c r="K221" s="16"/>
      <c r="L221" s="12"/>
      <c r="M221" s="17"/>
      <c r="O221" s="17"/>
      <c r="P221" s="12"/>
      <c r="Q221" s="17"/>
      <c r="S221" s="17"/>
      <c r="T221" s="17"/>
      <c r="U221" s="17"/>
      <c r="V221" s="118"/>
      <c r="W221" s="53"/>
      <c r="X221" s="6"/>
      <c r="Z221" s="1"/>
      <c r="AA221" s="1"/>
    </row>
    <row r="222" spans="1:27" s="4" customFormat="1" ht="38.25">
      <c r="A222" s="1"/>
      <c r="B222" s="5"/>
      <c r="C222" s="427" t="s">
        <v>407</v>
      </c>
      <c r="D222" s="61" t="s">
        <v>416</v>
      </c>
      <c r="E222" s="6"/>
      <c r="F222" s="61" t="s">
        <v>417</v>
      </c>
      <c r="G222" s="17"/>
      <c r="H222" s="61" t="s">
        <v>418</v>
      </c>
      <c r="I222" s="17"/>
      <c r="J222" s="430" t="s">
        <v>428</v>
      </c>
      <c r="K222" s="431"/>
      <c r="L222" s="432"/>
      <c r="M222" s="17"/>
      <c r="N222" s="45"/>
      <c r="O222" s="16"/>
      <c r="P222" s="45"/>
      <c r="S222" s="17"/>
      <c r="T222" s="45"/>
      <c r="U222" s="17"/>
      <c r="V222" s="107"/>
      <c r="W222" s="53"/>
      <c r="X222" s="6"/>
      <c r="Z222" s="1"/>
      <c r="AA222" s="1"/>
    </row>
    <row r="223" spans="1:27" s="4" customFormat="1" ht="12.75" customHeight="1">
      <c r="A223" s="1"/>
      <c r="B223" s="5"/>
      <c r="C223" s="182" t="s">
        <v>336</v>
      </c>
      <c r="D223" s="8">
        <f>L196+L170</f>
        <v>71563.6</v>
      </c>
      <c r="E223" s="6"/>
      <c r="F223" s="8">
        <f aca="true" t="shared" si="31" ref="F223:F230">N196+N170</f>
        <v>62346.4</v>
      </c>
      <c r="H223" s="8">
        <f aca="true" t="shared" si="32" ref="H223:H230">P196+P170</f>
        <v>64070.4</v>
      </c>
      <c r="J223" s="8" t="str">
        <f>IF(SUM(D223:H223)=0,"",IF(L223=D223,"Light",IF(L223=F223,"Medium","Heavy")))</f>
        <v>Medium</v>
      </c>
      <c r="K223" s="17"/>
      <c r="L223" s="8">
        <f aca="true" t="shared" si="33" ref="L223:L229">MIN(D223:H223)</f>
        <v>62346.4</v>
      </c>
      <c r="M223" s="17"/>
      <c r="N223" s="8"/>
      <c r="O223" s="17"/>
      <c r="P223" s="8"/>
      <c r="S223" s="17"/>
      <c r="T223" s="8"/>
      <c r="U223" s="17"/>
      <c r="V223" s="107"/>
      <c r="W223" s="53"/>
      <c r="X223" s="6"/>
      <c r="Z223" s="1"/>
      <c r="AA223" s="1"/>
    </row>
    <row r="224" spans="1:27" s="4" customFormat="1" ht="12.75" customHeight="1">
      <c r="A224" s="1"/>
      <c r="B224" s="5"/>
      <c r="C224" s="182" t="s">
        <v>337</v>
      </c>
      <c r="D224" s="8">
        <f aca="true" t="shared" si="34" ref="D224:D230">L197+L171</f>
        <v>0</v>
      </c>
      <c r="E224" s="6"/>
      <c r="F224" s="8">
        <f t="shared" si="31"/>
        <v>0</v>
      </c>
      <c r="H224" s="8">
        <f t="shared" si="32"/>
        <v>0</v>
      </c>
      <c r="J224" s="8">
        <f aca="true" t="shared" si="35" ref="J224:J230">IF(SUM(D224:H224)=0,"",IF(L224=D224,"Light",IF(L224=F224,"Medium","Heavy")))</f>
      </c>
      <c r="K224" s="17"/>
      <c r="L224" s="8">
        <f t="shared" si="33"/>
        <v>0</v>
      </c>
      <c r="M224" s="17"/>
      <c r="N224" s="8"/>
      <c r="O224" s="17"/>
      <c r="P224" s="8"/>
      <c r="S224" s="17"/>
      <c r="T224" s="8"/>
      <c r="U224" s="17"/>
      <c r="V224" s="107"/>
      <c r="W224" s="53"/>
      <c r="X224" s="6"/>
      <c r="Z224" s="1"/>
      <c r="AA224" s="1"/>
    </row>
    <row r="225" spans="1:27" s="4" customFormat="1" ht="12.75" customHeight="1">
      <c r="A225" s="1"/>
      <c r="B225" s="5"/>
      <c r="C225" s="182" t="s">
        <v>338</v>
      </c>
      <c r="D225" s="8">
        <f t="shared" si="34"/>
        <v>0</v>
      </c>
      <c r="E225" s="6"/>
      <c r="F225" s="8">
        <f t="shared" si="31"/>
        <v>0</v>
      </c>
      <c r="H225" s="8">
        <f t="shared" si="32"/>
        <v>0</v>
      </c>
      <c r="J225" s="8">
        <f t="shared" si="35"/>
      </c>
      <c r="K225" s="17"/>
      <c r="L225" s="8">
        <f t="shared" si="33"/>
        <v>0</v>
      </c>
      <c r="M225" s="17"/>
      <c r="N225" s="8"/>
      <c r="O225" s="17"/>
      <c r="P225" s="8"/>
      <c r="S225" s="17"/>
      <c r="T225" s="8"/>
      <c r="U225" s="17"/>
      <c r="V225" s="107"/>
      <c r="W225" s="53"/>
      <c r="X225" s="6"/>
      <c r="Z225" s="1"/>
      <c r="AA225" s="1"/>
    </row>
    <row r="226" spans="1:27" s="4" customFormat="1" ht="12.75" customHeight="1">
      <c r="A226" s="1"/>
      <c r="B226" s="5"/>
      <c r="C226" s="182" t="s">
        <v>377</v>
      </c>
      <c r="D226" s="8">
        <f t="shared" si="34"/>
        <v>0</v>
      </c>
      <c r="E226" s="6"/>
      <c r="F226" s="8">
        <f t="shared" si="31"/>
        <v>0</v>
      </c>
      <c r="H226" s="8">
        <f t="shared" si="32"/>
        <v>0</v>
      </c>
      <c r="J226" s="8">
        <f t="shared" si="35"/>
      </c>
      <c r="K226" s="17"/>
      <c r="L226" s="8">
        <f t="shared" si="33"/>
        <v>0</v>
      </c>
      <c r="M226" s="17"/>
      <c r="N226" s="8"/>
      <c r="O226" s="17"/>
      <c r="P226" s="8"/>
      <c r="S226" s="17"/>
      <c r="T226" s="8"/>
      <c r="U226" s="17"/>
      <c r="V226" s="107"/>
      <c r="W226" s="53"/>
      <c r="X226" s="6"/>
      <c r="Z226" s="1"/>
      <c r="AA226" s="1"/>
    </row>
    <row r="227" spans="1:27" s="4" customFormat="1" ht="12.75" customHeight="1">
      <c r="A227" s="1"/>
      <c r="B227" s="5"/>
      <c r="C227" s="182" t="s">
        <v>334</v>
      </c>
      <c r="D227" s="8">
        <f t="shared" si="34"/>
        <v>0</v>
      </c>
      <c r="E227" s="6"/>
      <c r="F227" s="8">
        <f t="shared" si="31"/>
        <v>0</v>
      </c>
      <c r="H227" s="8">
        <f t="shared" si="32"/>
        <v>0</v>
      </c>
      <c r="J227" s="8">
        <f t="shared" si="35"/>
      </c>
      <c r="K227" s="17"/>
      <c r="L227" s="8">
        <f t="shared" si="33"/>
        <v>0</v>
      </c>
      <c r="M227" s="17"/>
      <c r="N227" s="8"/>
      <c r="O227" s="17"/>
      <c r="P227" s="8"/>
      <c r="S227" s="17"/>
      <c r="T227" s="8"/>
      <c r="U227" s="17"/>
      <c r="V227" s="107"/>
      <c r="W227" s="53"/>
      <c r="X227" s="6"/>
      <c r="Z227" s="1"/>
      <c r="AA227" s="1"/>
    </row>
    <row r="228" spans="1:27" s="4" customFormat="1" ht="12.75" customHeight="1">
      <c r="A228" s="1"/>
      <c r="B228" s="5"/>
      <c r="C228" s="182" t="s">
        <v>335</v>
      </c>
      <c r="D228" s="8">
        <f t="shared" si="34"/>
        <v>0</v>
      </c>
      <c r="E228" s="6"/>
      <c r="F228" s="8">
        <f t="shared" si="31"/>
        <v>0</v>
      </c>
      <c r="H228" s="8">
        <f t="shared" si="32"/>
        <v>0</v>
      </c>
      <c r="J228" s="8">
        <f t="shared" si="35"/>
      </c>
      <c r="K228" s="17"/>
      <c r="L228" s="8">
        <f t="shared" si="33"/>
        <v>0</v>
      </c>
      <c r="M228" s="17"/>
      <c r="N228" s="8"/>
      <c r="O228" s="17"/>
      <c r="P228" s="8"/>
      <c r="S228" s="17"/>
      <c r="T228" s="8"/>
      <c r="U228" s="17"/>
      <c r="V228" s="107"/>
      <c r="W228" s="53"/>
      <c r="X228" s="6"/>
      <c r="Z228" s="1"/>
      <c r="AA228" s="1"/>
    </row>
    <row r="229" spans="1:27" s="4" customFormat="1" ht="12.75" customHeight="1">
      <c r="A229" s="1"/>
      <c r="B229" s="5"/>
      <c r="C229" s="182" t="s">
        <v>339</v>
      </c>
      <c r="D229" s="8">
        <f t="shared" si="34"/>
        <v>0</v>
      </c>
      <c r="E229" s="6"/>
      <c r="F229" s="8">
        <f t="shared" si="31"/>
        <v>0</v>
      </c>
      <c r="H229" s="8">
        <f t="shared" si="32"/>
        <v>0</v>
      </c>
      <c r="J229" s="8">
        <f t="shared" si="35"/>
      </c>
      <c r="K229" s="17"/>
      <c r="L229" s="8">
        <f t="shared" si="33"/>
        <v>0</v>
      </c>
      <c r="M229" s="17"/>
      <c r="N229" s="8"/>
      <c r="O229" s="17"/>
      <c r="P229" s="8"/>
      <c r="S229" s="17"/>
      <c r="T229" s="8"/>
      <c r="U229" s="17"/>
      <c r="V229" s="107"/>
      <c r="W229" s="53"/>
      <c r="X229" s="6"/>
      <c r="Z229" s="1"/>
      <c r="AA229" s="1"/>
    </row>
    <row r="230" spans="1:27" s="4" customFormat="1" ht="12.75" customHeight="1">
      <c r="A230" s="1"/>
      <c r="B230" s="5"/>
      <c r="C230" s="182" t="s">
        <v>340</v>
      </c>
      <c r="D230" s="8">
        <f t="shared" si="34"/>
        <v>0</v>
      </c>
      <c r="E230" s="6"/>
      <c r="F230" s="8">
        <f t="shared" si="31"/>
        <v>0</v>
      </c>
      <c r="H230" s="8">
        <f t="shared" si="32"/>
        <v>0</v>
      </c>
      <c r="J230" s="8">
        <f t="shared" si="35"/>
      </c>
      <c r="K230" s="17"/>
      <c r="L230" s="248">
        <f>MIN(D230:H230)</f>
        <v>0</v>
      </c>
      <c r="M230" s="17"/>
      <c r="N230" s="8"/>
      <c r="O230" s="17"/>
      <c r="P230" s="8"/>
      <c r="S230" s="17"/>
      <c r="T230" s="8"/>
      <c r="U230" s="17"/>
      <c r="V230" s="107"/>
      <c r="W230" s="53"/>
      <c r="X230" s="6"/>
      <c r="Z230" s="1"/>
      <c r="AA230" s="1"/>
    </row>
    <row r="231" spans="1:27" s="4" customFormat="1" ht="12.75" customHeight="1">
      <c r="A231" s="1"/>
      <c r="B231" s="5"/>
      <c r="C231" s="182"/>
      <c r="D231" s="130"/>
      <c r="E231" s="6"/>
      <c r="F231" s="130"/>
      <c r="H231" s="130"/>
      <c r="J231" s="130"/>
      <c r="K231" s="17"/>
      <c r="L231" s="130">
        <f>SUM(L223:L230)</f>
        <v>62346.4</v>
      </c>
      <c r="M231" s="17"/>
      <c r="N231" s="130"/>
      <c r="O231" s="17"/>
      <c r="P231" s="130"/>
      <c r="S231" s="17"/>
      <c r="T231" s="130"/>
      <c r="U231" s="17"/>
      <c r="V231" s="107"/>
      <c r="W231" s="53"/>
      <c r="X231" s="6"/>
      <c r="Z231" s="1"/>
      <c r="AA231" s="1"/>
    </row>
    <row r="232" spans="1:27" s="4" customFormat="1" ht="12.75" customHeight="1">
      <c r="A232" s="1"/>
      <c r="B232" s="5"/>
      <c r="C232" s="129"/>
      <c r="D232" s="58"/>
      <c r="E232" s="6"/>
      <c r="F232" s="58"/>
      <c r="H232" s="8"/>
      <c r="I232" s="17"/>
      <c r="J232" s="8"/>
      <c r="K232" s="16"/>
      <c r="L232" s="12"/>
      <c r="M232" s="17"/>
      <c r="N232" s="6"/>
      <c r="O232" s="17"/>
      <c r="P232" s="12"/>
      <c r="Q232" s="17"/>
      <c r="R232" s="6"/>
      <c r="S232" s="17"/>
      <c r="T232" s="17"/>
      <c r="U232" s="17"/>
      <c r="V232" s="118"/>
      <c r="W232" s="53"/>
      <c r="X232" s="6"/>
      <c r="Z232" s="1"/>
      <c r="AA232" s="1"/>
    </row>
    <row r="233" spans="1:27" s="4" customFormat="1" ht="12.75" customHeight="1">
      <c r="A233" s="1"/>
      <c r="B233" s="5"/>
      <c r="C233" s="285" t="s">
        <v>410</v>
      </c>
      <c r="D233" s="58"/>
      <c r="E233" s="6"/>
      <c r="F233" s="58"/>
      <c r="H233" s="8"/>
      <c r="I233" s="17"/>
      <c r="J233" s="8"/>
      <c r="K233" s="16"/>
      <c r="L233" s="12"/>
      <c r="M233" s="17"/>
      <c r="U233" s="17"/>
      <c r="V233" s="118"/>
      <c r="W233" s="53"/>
      <c r="X233" s="6"/>
      <c r="Z233" s="1"/>
      <c r="AA233" s="1"/>
    </row>
    <row r="234" spans="1:27" s="4" customFormat="1" ht="51">
      <c r="A234" s="1"/>
      <c r="B234" s="5"/>
      <c r="C234" s="109"/>
      <c r="D234" s="61" t="s">
        <v>365</v>
      </c>
      <c r="E234" s="16" t="s">
        <v>18</v>
      </c>
      <c r="F234" s="59" t="s">
        <v>164</v>
      </c>
      <c r="G234" s="7" t="s">
        <v>29</v>
      </c>
      <c r="H234" s="59" t="s">
        <v>323</v>
      </c>
      <c r="I234" s="7"/>
      <c r="O234" s="17"/>
      <c r="S234" s="17"/>
      <c r="T234" s="17"/>
      <c r="U234" s="17"/>
      <c r="V234" s="118"/>
      <c r="W234" s="53"/>
      <c r="X234" s="6"/>
      <c r="Z234" s="1"/>
      <c r="AA234" s="1"/>
    </row>
    <row r="235" spans="1:27" s="4" customFormat="1" ht="12.75" customHeight="1">
      <c r="A235" s="1"/>
      <c r="B235" s="5"/>
      <c r="C235" s="182" t="s">
        <v>336</v>
      </c>
      <c r="D235" s="58">
        <f aca="true" t="shared" si="36" ref="D235:D242">F45*N45*8736</f>
        <v>611520</v>
      </c>
      <c r="E235" s="17"/>
      <c r="F235" s="24">
        <f aca="true" t="shared" si="37" ref="F235:F242">H58</f>
        <v>0.08</v>
      </c>
      <c r="H235" s="13">
        <f aca="true" t="shared" si="38" ref="H235:H242">D235*F235</f>
        <v>48921.6</v>
      </c>
      <c r="N235" s="428"/>
      <c r="O235" s="428"/>
      <c r="P235" s="428"/>
      <c r="Q235" s="428"/>
      <c r="R235" s="428"/>
      <c r="S235" s="428"/>
      <c r="T235" s="428"/>
      <c r="U235" s="17"/>
      <c r="V235" s="118"/>
      <c r="W235" s="53"/>
      <c r="X235" s="6"/>
      <c r="Z235" s="1"/>
      <c r="AA235" s="1"/>
    </row>
    <row r="236" spans="1:27" s="4" customFormat="1" ht="12.75" customHeight="1">
      <c r="A236" s="1"/>
      <c r="B236" s="5"/>
      <c r="C236" s="182" t="s">
        <v>337</v>
      </c>
      <c r="D236" s="58">
        <f t="shared" si="36"/>
        <v>0</v>
      </c>
      <c r="E236" s="17"/>
      <c r="F236" s="24">
        <f t="shared" si="37"/>
        <v>0.32</v>
      </c>
      <c r="H236" s="13">
        <f t="shared" si="38"/>
        <v>0</v>
      </c>
      <c r="N236" s="428"/>
      <c r="O236" s="428"/>
      <c r="P236" s="428"/>
      <c r="Q236" s="428"/>
      <c r="R236" s="428"/>
      <c r="S236" s="428"/>
      <c r="T236" s="428"/>
      <c r="U236" s="17"/>
      <c r="V236" s="118"/>
      <c r="W236" s="53"/>
      <c r="X236" s="6"/>
      <c r="Z236" s="1"/>
      <c r="AA236" s="1"/>
    </row>
    <row r="237" spans="1:27" s="4" customFormat="1" ht="12.75" customHeight="1">
      <c r="A237" s="1"/>
      <c r="B237" s="5"/>
      <c r="C237" s="182" t="s">
        <v>338</v>
      </c>
      <c r="D237" s="58">
        <f t="shared" si="36"/>
        <v>0</v>
      </c>
      <c r="E237" s="17"/>
      <c r="F237" s="24">
        <f t="shared" si="37"/>
        <v>0.64</v>
      </c>
      <c r="H237" s="13">
        <f t="shared" si="38"/>
        <v>0</v>
      </c>
      <c r="O237" s="17"/>
      <c r="S237" s="17"/>
      <c r="T237" s="17"/>
      <c r="U237" s="17"/>
      <c r="V237" s="118"/>
      <c r="W237" s="53"/>
      <c r="X237" s="6"/>
      <c r="Z237" s="1"/>
      <c r="AA237" s="1"/>
    </row>
    <row r="238" spans="1:27" s="4" customFormat="1" ht="12.75" customHeight="1">
      <c r="A238" s="1"/>
      <c r="B238" s="5"/>
      <c r="C238" s="182" t="s">
        <v>377</v>
      </c>
      <c r="D238" s="58">
        <f t="shared" si="36"/>
        <v>0</v>
      </c>
      <c r="E238" s="17"/>
      <c r="F238" s="24">
        <f t="shared" si="37"/>
        <v>0.45</v>
      </c>
      <c r="H238" s="13">
        <f>D238*F238</f>
        <v>0</v>
      </c>
      <c r="O238" s="17"/>
      <c r="S238" s="17"/>
      <c r="T238" s="17"/>
      <c r="U238" s="17"/>
      <c r="V238" s="118"/>
      <c r="W238" s="53"/>
      <c r="X238" s="6"/>
      <c r="Z238" s="1"/>
      <c r="AA238" s="1"/>
    </row>
    <row r="239" spans="1:27" s="4" customFormat="1" ht="12.75" customHeight="1">
      <c r="A239" s="1"/>
      <c r="B239" s="5"/>
      <c r="C239" s="182" t="s">
        <v>334</v>
      </c>
      <c r="D239" s="58">
        <f t="shared" si="36"/>
        <v>0</v>
      </c>
      <c r="E239" s="17"/>
      <c r="F239" s="24">
        <f t="shared" si="37"/>
        <v>0.9</v>
      </c>
      <c r="H239" s="13">
        <f t="shared" si="38"/>
        <v>0</v>
      </c>
      <c r="O239" s="17"/>
      <c r="S239" s="17"/>
      <c r="T239" s="17"/>
      <c r="U239" s="17"/>
      <c r="V239" s="118"/>
      <c r="W239" s="53"/>
      <c r="X239" s="6"/>
      <c r="Z239" s="1"/>
      <c r="AA239" s="1"/>
    </row>
    <row r="240" spans="1:27" s="4" customFormat="1" ht="12.75" customHeight="1">
      <c r="A240" s="1"/>
      <c r="B240" s="5"/>
      <c r="C240" s="182" t="s">
        <v>335</v>
      </c>
      <c r="D240" s="58">
        <f t="shared" si="36"/>
        <v>0</v>
      </c>
      <c r="E240" s="17"/>
      <c r="F240" s="24">
        <f t="shared" si="37"/>
        <v>1.8</v>
      </c>
      <c r="H240" s="13">
        <f t="shared" si="38"/>
        <v>0</v>
      </c>
      <c r="O240" s="17"/>
      <c r="S240" s="17"/>
      <c r="T240" s="17"/>
      <c r="U240" s="17"/>
      <c r="V240" s="118"/>
      <c r="W240" s="53"/>
      <c r="X240" s="6"/>
      <c r="Z240" s="1"/>
      <c r="AA240" s="1"/>
    </row>
    <row r="241" spans="1:27" s="4" customFormat="1" ht="12.75" customHeight="1">
      <c r="A241" s="1"/>
      <c r="B241" s="5"/>
      <c r="C241" s="182" t="s">
        <v>339</v>
      </c>
      <c r="D241" s="58">
        <f t="shared" si="36"/>
        <v>0</v>
      </c>
      <c r="E241" s="17"/>
      <c r="F241" s="24">
        <f t="shared" si="37"/>
        <v>0.165</v>
      </c>
      <c r="H241" s="13">
        <f t="shared" si="38"/>
        <v>0</v>
      </c>
      <c r="O241" s="17"/>
      <c r="S241" s="17"/>
      <c r="T241" s="17"/>
      <c r="U241" s="17"/>
      <c r="V241" s="118"/>
      <c r="W241" s="53"/>
      <c r="X241" s="6"/>
      <c r="Z241" s="1"/>
      <c r="AA241" s="1"/>
    </row>
    <row r="242" spans="1:27" s="4" customFormat="1" ht="12.75" customHeight="1">
      <c r="A242" s="1"/>
      <c r="B242" s="5"/>
      <c r="C242" s="182" t="s">
        <v>340</v>
      </c>
      <c r="D242" s="135">
        <f t="shared" si="36"/>
        <v>0</v>
      </c>
      <c r="E242" s="17"/>
      <c r="F242" s="24">
        <f t="shared" si="37"/>
        <v>0.66</v>
      </c>
      <c r="H242" s="34">
        <f t="shared" si="38"/>
        <v>0</v>
      </c>
      <c r="O242" s="17"/>
      <c r="S242" s="17"/>
      <c r="T242" s="17"/>
      <c r="U242" s="17"/>
      <c r="V242" s="118"/>
      <c r="W242" s="53"/>
      <c r="X242" s="6"/>
      <c r="Z242" s="1"/>
      <c r="AA242" s="1"/>
    </row>
    <row r="243" spans="1:27" s="4" customFormat="1" ht="12.75" customHeight="1">
      <c r="A243" s="1"/>
      <c r="B243" s="5"/>
      <c r="C243" s="129"/>
      <c r="D243" s="58">
        <f>SUM(D235:D242)</f>
        <v>611520</v>
      </c>
      <c r="E243" s="17"/>
      <c r="H243" s="124">
        <f>SUM(H235:H242)</f>
        <v>48921.6</v>
      </c>
      <c r="O243" s="17"/>
      <c r="S243" s="17"/>
      <c r="T243" s="17"/>
      <c r="U243" s="17"/>
      <c r="V243" s="118"/>
      <c r="W243" s="53"/>
      <c r="X243" s="6"/>
      <c r="Z243" s="1"/>
      <c r="AA243" s="1"/>
    </row>
    <row r="244" spans="1:27" s="4" customFormat="1" ht="12.75" customHeight="1">
      <c r="A244" s="1"/>
      <c r="B244" s="5"/>
      <c r="C244" s="129"/>
      <c r="D244" s="58"/>
      <c r="E244" s="17"/>
      <c r="F244" s="8"/>
      <c r="G244" s="16"/>
      <c r="H244" s="58"/>
      <c r="L244" s="124"/>
      <c r="O244" s="17"/>
      <c r="P244" s="124"/>
      <c r="S244" s="17"/>
      <c r="T244" s="17"/>
      <c r="U244" s="17"/>
      <c r="V244" s="118"/>
      <c r="W244" s="53"/>
      <c r="X244" s="6"/>
      <c r="Z244" s="1"/>
      <c r="AA244" s="1"/>
    </row>
    <row r="245" spans="1:27" s="4" customFormat="1" ht="12.75" customHeight="1">
      <c r="A245" s="1"/>
      <c r="B245" s="5"/>
      <c r="C245" s="129"/>
      <c r="D245" s="272" t="s">
        <v>366</v>
      </c>
      <c r="E245" s="17"/>
      <c r="F245" s="8"/>
      <c r="G245" s="16"/>
      <c r="H245" s="58"/>
      <c r="L245" s="124"/>
      <c r="O245" s="17"/>
      <c r="P245" s="124"/>
      <c r="S245" s="17"/>
      <c r="T245" s="17"/>
      <c r="U245" s="17"/>
      <c r="V245" s="118"/>
      <c r="W245" s="53"/>
      <c r="X245" s="6"/>
      <c r="Z245" s="1"/>
      <c r="AA245" s="1"/>
    </row>
    <row r="246" spans="1:27" s="4" customFormat="1" ht="12.75" customHeight="1">
      <c r="A246" s="1"/>
      <c r="B246" s="5"/>
      <c r="C246" s="119"/>
      <c r="D246" s="290"/>
      <c r="E246" s="44"/>
      <c r="F246" s="120"/>
      <c r="G246" s="100"/>
      <c r="H246" s="34"/>
      <c r="I246" s="99"/>
      <c r="J246" s="120"/>
      <c r="K246" s="99"/>
      <c r="L246" s="44"/>
      <c r="M246" s="100"/>
      <c r="N246" s="44"/>
      <c r="O246" s="100"/>
      <c r="P246" s="44"/>
      <c r="Q246" s="100"/>
      <c r="R246" s="44"/>
      <c r="S246" s="100"/>
      <c r="T246" s="100"/>
      <c r="U246" s="100"/>
      <c r="V246" s="121"/>
      <c r="W246" s="53"/>
      <c r="X246" s="6"/>
      <c r="Z246" s="1"/>
      <c r="AA246" s="1"/>
    </row>
    <row r="247" spans="1:27" s="4" customFormat="1" ht="12.75" customHeight="1">
      <c r="A247" s="1"/>
      <c r="B247" s="5"/>
      <c r="D247" s="36"/>
      <c r="E247" s="6"/>
      <c r="F247" s="36"/>
      <c r="G247" s="17"/>
      <c r="H247" s="35"/>
      <c r="I247" s="16"/>
      <c r="J247" s="10"/>
      <c r="K247" s="16"/>
      <c r="L247" s="6"/>
      <c r="M247" s="17"/>
      <c r="N247" s="6"/>
      <c r="O247" s="17"/>
      <c r="P247" s="6"/>
      <c r="Q247" s="17"/>
      <c r="R247" s="6"/>
      <c r="S247" s="17"/>
      <c r="T247" s="17"/>
      <c r="U247" s="17"/>
      <c r="V247" s="6"/>
      <c r="W247" s="53"/>
      <c r="X247" s="6"/>
      <c r="Z247" s="1"/>
      <c r="AA247" s="1"/>
    </row>
    <row r="248" spans="1:27" s="4" customFormat="1" ht="12.75" customHeight="1" thickBot="1">
      <c r="A248" s="1"/>
      <c r="B248" s="5"/>
      <c r="C248" s="123" t="s">
        <v>159</v>
      </c>
      <c r="D248" s="71"/>
      <c r="E248" s="71"/>
      <c r="F248" s="72"/>
      <c r="G248" s="73"/>
      <c r="H248" s="74"/>
      <c r="I248" s="33"/>
      <c r="J248" s="72"/>
      <c r="K248" s="33"/>
      <c r="L248" s="71"/>
      <c r="M248" s="73"/>
      <c r="N248" s="71"/>
      <c r="O248" s="73"/>
      <c r="P248" s="71"/>
      <c r="Q248" s="73"/>
      <c r="R248" s="71"/>
      <c r="S248" s="73"/>
      <c r="T248" s="73"/>
      <c r="U248" s="73"/>
      <c r="V248" s="71"/>
      <c r="W248" s="71"/>
      <c r="X248" s="6"/>
      <c r="Z248" s="1"/>
      <c r="AA248" s="1"/>
    </row>
    <row r="249" spans="1:27" s="4" customFormat="1" ht="12.75" customHeight="1">
      <c r="A249" s="1"/>
      <c r="B249" s="5"/>
      <c r="D249" s="6"/>
      <c r="E249" s="6"/>
      <c r="F249" s="10"/>
      <c r="G249" s="17"/>
      <c r="H249" s="13"/>
      <c r="I249" s="16"/>
      <c r="J249" s="10"/>
      <c r="K249" s="16"/>
      <c r="L249" s="6"/>
      <c r="M249" s="17"/>
      <c r="N249" s="6"/>
      <c r="O249" s="17"/>
      <c r="P249" s="6"/>
      <c r="Q249" s="17"/>
      <c r="R249" s="6"/>
      <c r="S249" s="17"/>
      <c r="T249" s="17"/>
      <c r="U249" s="17"/>
      <c r="V249" s="6"/>
      <c r="W249" s="53"/>
      <c r="X249" s="6"/>
      <c r="Z249" s="1"/>
      <c r="AA249" s="1"/>
    </row>
    <row r="250" spans="1:27" s="4" customFormat="1" ht="12.75" customHeight="1">
      <c r="A250" s="1"/>
      <c r="B250" s="5"/>
      <c r="C250" s="249" t="s">
        <v>277</v>
      </c>
      <c r="D250" s="6"/>
      <c r="E250" s="6"/>
      <c r="F250" s="10"/>
      <c r="G250" s="17"/>
      <c r="H250" s="13"/>
      <c r="I250" s="16"/>
      <c r="J250" s="10"/>
      <c r="K250" s="16"/>
      <c r="L250" s="6"/>
      <c r="M250" s="17"/>
      <c r="N250" s="6"/>
      <c r="O250" s="17"/>
      <c r="P250" s="6"/>
      <c r="Q250" s="17"/>
      <c r="R250" s="6"/>
      <c r="S250" s="17"/>
      <c r="T250" s="17"/>
      <c r="U250" s="17"/>
      <c r="V250" s="6"/>
      <c r="W250" s="53"/>
      <c r="X250" s="6"/>
      <c r="Z250" s="1"/>
      <c r="AA250" s="1"/>
    </row>
    <row r="251" spans="1:27" s="4" customFormat="1" ht="12.75">
      <c r="A251" s="1"/>
      <c r="B251" s="5"/>
      <c r="D251" s="6"/>
      <c r="E251" s="6"/>
      <c r="F251" s="10"/>
      <c r="G251" s="17"/>
      <c r="H251" s="13"/>
      <c r="I251" s="16"/>
      <c r="J251" s="10"/>
      <c r="K251" s="16"/>
      <c r="L251" s="6"/>
      <c r="M251" s="17"/>
      <c r="N251" s="6"/>
      <c r="O251" s="17"/>
      <c r="P251" s="6"/>
      <c r="Q251" s="17"/>
      <c r="R251" s="6"/>
      <c r="S251" s="17"/>
      <c r="T251" s="17"/>
      <c r="U251" s="17"/>
      <c r="V251" s="6"/>
      <c r="W251" s="53"/>
      <c r="X251" s="6"/>
      <c r="Z251" s="1"/>
      <c r="AA251" s="1"/>
    </row>
    <row r="252" spans="1:27" s="4" customFormat="1" ht="12.75" customHeight="1">
      <c r="A252" s="1"/>
      <c r="B252" s="5"/>
      <c r="C252" s="11" t="s">
        <v>163</v>
      </c>
      <c r="D252" s="35">
        <f>L256</f>
        <v>0</v>
      </c>
      <c r="E252" s="6"/>
      <c r="F252" s="185" t="s">
        <v>160</v>
      </c>
      <c r="G252" s="17"/>
      <c r="H252" s="13"/>
      <c r="I252" s="16"/>
      <c r="J252" s="10"/>
      <c r="K252" s="16"/>
      <c r="L252" s="6"/>
      <c r="M252" s="17"/>
      <c r="N252" s="6"/>
      <c r="O252" s="17"/>
      <c r="P252" s="6"/>
      <c r="Q252" s="17"/>
      <c r="R252" s="6"/>
      <c r="S252" s="17"/>
      <c r="T252" s="17"/>
      <c r="U252" s="17"/>
      <c r="V252" s="6"/>
      <c r="W252" s="53"/>
      <c r="X252" s="6"/>
      <c r="Z252" s="1"/>
      <c r="AA252" s="1"/>
    </row>
    <row r="253" spans="1:27" s="4" customFormat="1" ht="12.75" customHeight="1">
      <c r="A253" s="1"/>
      <c r="B253" s="5"/>
      <c r="D253" s="6"/>
      <c r="E253" s="6"/>
      <c r="F253" s="185"/>
      <c r="G253" s="17"/>
      <c r="H253" s="13"/>
      <c r="I253" s="16"/>
      <c r="J253" s="10"/>
      <c r="K253" s="16"/>
      <c r="L253" s="6"/>
      <c r="M253" s="17"/>
      <c r="N253" s="6"/>
      <c r="O253" s="17"/>
      <c r="P253" s="6"/>
      <c r="Q253" s="17"/>
      <c r="R253" s="6"/>
      <c r="S253" s="17"/>
      <c r="T253" s="17"/>
      <c r="U253" s="17"/>
      <c r="V253" s="6"/>
      <c r="W253" s="53"/>
      <c r="X253" s="6"/>
      <c r="Z253" s="1"/>
      <c r="AA253" s="1"/>
    </row>
    <row r="254" spans="1:27" s="4" customFormat="1" ht="12.75" customHeight="1">
      <c r="A254" s="1"/>
      <c r="B254" s="5"/>
      <c r="C254" s="111"/>
      <c r="D254" s="112"/>
      <c r="E254" s="112"/>
      <c r="F254" s="128"/>
      <c r="G254" s="113"/>
      <c r="H254" s="114"/>
      <c r="I254" s="115"/>
      <c r="J254" s="116"/>
      <c r="K254" s="115"/>
      <c r="L254" s="112"/>
      <c r="M254" s="113"/>
      <c r="N254" s="112"/>
      <c r="O254" s="113"/>
      <c r="P254" s="112"/>
      <c r="Q254" s="113"/>
      <c r="R254" s="112"/>
      <c r="S254" s="113"/>
      <c r="T254" s="113"/>
      <c r="U254" s="113"/>
      <c r="V254" s="117"/>
      <c r="W254" s="53"/>
      <c r="X254" s="6"/>
      <c r="Z254" s="1"/>
      <c r="AA254" s="1"/>
    </row>
    <row r="255" spans="1:27" s="4" customFormat="1" ht="38.25">
      <c r="A255" s="1"/>
      <c r="B255" s="5"/>
      <c r="C255" s="291"/>
      <c r="D255" s="61" t="s">
        <v>43</v>
      </c>
      <c r="E255" s="6" t="s">
        <v>18</v>
      </c>
      <c r="F255" s="266" t="s">
        <v>207</v>
      </c>
      <c r="G255" s="90" t="s">
        <v>29</v>
      </c>
      <c r="H255" s="61" t="s">
        <v>40</v>
      </c>
      <c r="I255" s="16" t="s">
        <v>18</v>
      </c>
      <c r="J255" s="61" t="s">
        <v>123</v>
      </c>
      <c r="K255" s="146" t="s">
        <v>29</v>
      </c>
      <c r="L255" s="59" t="s">
        <v>24</v>
      </c>
      <c r="P255" s="45"/>
      <c r="V255" s="107"/>
      <c r="W255" s="53"/>
      <c r="X255" s="6"/>
      <c r="Z255" s="1"/>
      <c r="AA255" s="1"/>
    </row>
    <row r="256" spans="1:27" s="4" customFormat="1" ht="12.75" customHeight="1">
      <c r="A256" s="1"/>
      <c r="B256" s="5"/>
      <c r="C256" s="268"/>
      <c r="D256" s="6">
        <f>Main!D62</f>
        <v>2950</v>
      </c>
      <c r="E256" s="6"/>
      <c r="F256" s="331">
        <v>0</v>
      </c>
      <c r="G256" s="17"/>
      <c r="H256" s="13">
        <f>D256*F256</f>
        <v>0</v>
      </c>
      <c r="I256" s="16"/>
      <c r="J256" s="292">
        <v>12</v>
      </c>
      <c r="K256" s="16"/>
      <c r="L256" s="393">
        <f>H256*J256</f>
        <v>0</v>
      </c>
      <c r="P256" s="124"/>
      <c r="V256" s="107"/>
      <c r="W256" s="53"/>
      <c r="X256" s="6"/>
      <c r="Z256" s="1"/>
      <c r="AA256" s="1"/>
    </row>
    <row r="257" spans="1:27" s="4" customFormat="1" ht="12.75" customHeight="1">
      <c r="A257" s="1"/>
      <c r="B257" s="5"/>
      <c r="C257" s="293"/>
      <c r="D257" s="44"/>
      <c r="E257" s="44"/>
      <c r="F257" s="294"/>
      <c r="G257" s="100"/>
      <c r="H257" s="34"/>
      <c r="I257" s="99"/>
      <c r="J257" s="295"/>
      <c r="K257" s="99"/>
      <c r="L257" s="34"/>
      <c r="M257" s="100"/>
      <c r="N257" s="44"/>
      <c r="O257" s="100"/>
      <c r="P257" s="34"/>
      <c r="Q257" s="100"/>
      <c r="R257" s="44"/>
      <c r="S257" s="100"/>
      <c r="T257" s="100"/>
      <c r="U257" s="100"/>
      <c r="V257" s="121"/>
      <c r="W257" s="53"/>
      <c r="X257" s="6"/>
      <c r="Z257" s="1"/>
      <c r="AA257" s="1"/>
    </row>
    <row r="258" spans="1:27" s="4" customFormat="1" ht="12.75" customHeight="1">
      <c r="A258" s="1"/>
      <c r="B258" s="5"/>
      <c r="C258" s="93"/>
      <c r="D258" s="46"/>
      <c r="E258" s="16"/>
      <c r="I258" s="16"/>
      <c r="J258" s="10"/>
      <c r="K258" s="16"/>
      <c r="L258" s="6"/>
      <c r="M258" s="17"/>
      <c r="N258" s="6"/>
      <c r="O258" s="17"/>
      <c r="P258" s="6"/>
      <c r="Q258" s="17"/>
      <c r="R258" s="6"/>
      <c r="S258" s="17"/>
      <c r="T258" s="17"/>
      <c r="U258" s="17"/>
      <c r="V258" s="6"/>
      <c r="W258" s="53"/>
      <c r="X258" s="6"/>
      <c r="Z258" s="1"/>
      <c r="AA258" s="1"/>
    </row>
    <row r="259" spans="1:27" s="4" customFormat="1" ht="12.75" customHeight="1">
      <c r="A259" s="1"/>
      <c r="B259" s="5"/>
      <c r="C259" s="249" t="s">
        <v>278</v>
      </c>
      <c r="D259" s="6"/>
      <c r="E259" s="6"/>
      <c r="F259" s="10"/>
      <c r="I259" s="16"/>
      <c r="J259" s="10"/>
      <c r="K259" s="16"/>
      <c r="L259" s="6"/>
      <c r="M259" s="17"/>
      <c r="N259" s="6"/>
      <c r="O259" s="17"/>
      <c r="P259" s="6"/>
      <c r="Q259" s="17"/>
      <c r="R259" s="6"/>
      <c r="S259" s="17"/>
      <c r="T259" s="17"/>
      <c r="U259" s="17"/>
      <c r="V259" s="6"/>
      <c r="W259" s="53"/>
      <c r="X259" s="6"/>
      <c r="Z259" s="1"/>
      <c r="AA259" s="1"/>
    </row>
    <row r="260" spans="1:27" s="4" customFormat="1" ht="12.75" customHeight="1">
      <c r="A260" s="1"/>
      <c r="B260" s="5"/>
      <c r="D260" s="6"/>
      <c r="E260" s="6"/>
      <c r="F260" s="10"/>
      <c r="I260" s="16"/>
      <c r="J260" s="10"/>
      <c r="K260" s="16"/>
      <c r="L260" s="6"/>
      <c r="M260" s="17"/>
      <c r="N260" s="6"/>
      <c r="O260" s="17"/>
      <c r="P260" s="6"/>
      <c r="Q260" s="17"/>
      <c r="R260" s="6"/>
      <c r="S260" s="17"/>
      <c r="T260" s="17"/>
      <c r="U260" s="17"/>
      <c r="V260" s="6"/>
      <c r="W260" s="53"/>
      <c r="X260" s="6"/>
      <c r="Z260" s="1"/>
      <c r="AA260" s="1"/>
    </row>
    <row r="261" spans="1:27" s="4" customFormat="1" ht="12.75" customHeight="1">
      <c r="A261" s="1"/>
      <c r="B261" s="5"/>
      <c r="C261" s="11" t="s">
        <v>162</v>
      </c>
      <c r="D261" s="35">
        <f>L273</f>
        <v>8494.56</v>
      </c>
      <c r="E261" s="6"/>
      <c r="F261" s="185" t="s">
        <v>161</v>
      </c>
      <c r="I261" s="16"/>
      <c r="J261" s="10"/>
      <c r="K261" s="16"/>
      <c r="L261" s="6"/>
      <c r="M261" s="17"/>
      <c r="N261" s="6"/>
      <c r="O261" s="17"/>
      <c r="P261" s="6"/>
      <c r="Q261" s="17"/>
      <c r="R261" s="6"/>
      <c r="S261" s="17"/>
      <c r="T261" s="17"/>
      <c r="U261" s="17"/>
      <c r="V261" s="6"/>
      <c r="W261" s="53"/>
      <c r="X261" s="6"/>
      <c r="Z261" s="1"/>
      <c r="AA261" s="1"/>
    </row>
    <row r="262" spans="1:27" s="4" customFormat="1" ht="12.75" customHeight="1">
      <c r="A262" s="1"/>
      <c r="B262" s="5"/>
      <c r="C262" s="296"/>
      <c r="D262" s="6"/>
      <c r="E262" s="6"/>
      <c r="F262" s="6"/>
      <c r="G262" s="17"/>
      <c r="H262" s="13"/>
      <c r="I262" s="16"/>
      <c r="J262" s="10"/>
      <c r="K262" s="16"/>
      <c r="L262" s="6"/>
      <c r="M262" s="17"/>
      <c r="N262" s="6"/>
      <c r="O262" s="17"/>
      <c r="P262" s="6"/>
      <c r="Q262" s="17"/>
      <c r="R262" s="6"/>
      <c r="S262" s="17"/>
      <c r="T262" s="17"/>
      <c r="U262" s="17"/>
      <c r="V262" s="6"/>
      <c r="W262" s="53"/>
      <c r="X262" s="6"/>
      <c r="Z262" s="1"/>
      <c r="AA262" s="1"/>
    </row>
    <row r="263" spans="1:27" s="4" customFormat="1" ht="12.75" customHeight="1">
      <c r="A263" s="1"/>
      <c r="B263" s="5"/>
      <c r="C263" s="297"/>
      <c r="D263" s="112"/>
      <c r="E263" s="112"/>
      <c r="F263" s="112"/>
      <c r="G263" s="113"/>
      <c r="H263" s="114"/>
      <c r="I263" s="115"/>
      <c r="J263" s="116"/>
      <c r="K263" s="115"/>
      <c r="L263" s="112"/>
      <c r="M263" s="113"/>
      <c r="N263" s="112"/>
      <c r="O263" s="113"/>
      <c r="P263" s="112"/>
      <c r="Q263" s="113"/>
      <c r="R263" s="112"/>
      <c r="S263" s="113"/>
      <c r="T263" s="113"/>
      <c r="U263" s="113"/>
      <c r="V263" s="117"/>
      <c r="W263" s="53"/>
      <c r="X263" s="6"/>
      <c r="Z263" s="1"/>
      <c r="AA263" s="1"/>
    </row>
    <row r="264" spans="1:27" s="4" customFormat="1" ht="38.25">
      <c r="A264" s="1"/>
      <c r="B264" s="5"/>
      <c r="C264" s="129"/>
      <c r="D264" s="61" t="s">
        <v>42</v>
      </c>
      <c r="E264" s="6"/>
      <c r="F264" s="188"/>
      <c r="G264" s="17"/>
      <c r="H264" s="391"/>
      <c r="I264" s="16"/>
      <c r="J264" s="10"/>
      <c r="K264" s="16"/>
      <c r="L264" s="6"/>
      <c r="M264" s="17"/>
      <c r="N264" s="6"/>
      <c r="O264" s="17"/>
      <c r="P264" s="6"/>
      <c r="Q264" s="17"/>
      <c r="R264" s="6"/>
      <c r="S264" s="17"/>
      <c r="T264" s="17"/>
      <c r="U264" s="17"/>
      <c r="V264" s="118"/>
      <c r="W264" s="53"/>
      <c r="X264" s="6"/>
      <c r="Z264" s="1"/>
      <c r="AA264" s="1"/>
    </row>
    <row r="265" spans="1:27" s="4" customFormat="1" ht="12.75" customHeight="1">
      <c r="A265" s="1"/>
      <c r="B265" s="5"/>
      <c r="C265" s="291"/>
      <c r="D265" s="6">
        <f>Main!F62</f>
        <v>5900</v>
      </c>
      <c r="E265" s="6"/>
      <c r="F265" s="392"/>
      <c r="G265" s="17"/>
      <c r="H265" s="389"/>
      <c r="I265" s="16"/>
      <c r="J265" s="411"/>
      <c r="K265" s="16"/>
      <c r="L265" s="6"/>
      <c r="M265" s="17"/>
      <c r="N265" s="6"/>
      <c r="O265" s="17"/>
      <c r="P265" s="6"/>
      <c r="Q265" s="17"/>
      <c r="R265" s="6"/>
      <c r="S265" s="17"/>
      <c r="T265" s="17"/>
      <c r="U265" s="17"/>
      <c r="V265" s="118"/>
      <c r="W265" s="53"/>
      <c r="X265" s="6"/>
      <c r="Z265" s="1"/>
      <c r="AA265" s="1"/>
    </row>
    <row r="266" spans="1:27" s="4" customFormat="1" ht="12.75" customHeight="1">
      <c r="A266" s="1"/>
      <c r="B266" s="5"/>
      <c r="C266" s="129"/>
      <c r="D266" s="6"/>
      <c r="E266" s="6"/>
      <c r="F266" s="460" t="s">
        <v>206</v>
      </c>
      <c r="G266" s="460"/>
      <c r="H266" s="460"/>
      <c r="I266" s="16"/>
      <c r="J266" s="410"/>
      <c r="K266" s="440"/>
      <c r="L266" s="440"/>
      <c r="M266" s="440"/>
      <c r="N266" s="440"/>
      <c r="V266" s="118"/>
      <c r="W266" s="53"/>
      <c r="X266" s="6"/>
      <c r="Z266" s="1"/>
      <c r="AA266" s="1"/>
    </row>
    <row r="267" spans="1:27" s="4" customFormat="1" ht="38.25">
      <c r="A267" s="1"/>
      <c r="B267" s="5"/>
      <c r="C267" s="298" t="s">
        <v>44</v>
      </c>
      <c r="D267" s="61" t="s">
        <v>42</v>
      </c>
      <c r="E267" s="6"/>
      <c r="F267" s="126" t="s">
        <v>388</v>
      </c>
      <c r="G267" s="17"/>
      <c r="H267" s="61" t="s">
        <v>40</v>
      </c>
      <c r="I267" s="16" t="s">
        <v>18</v>
      </c>
      <c r="J267" s="61" t="s">
        <v>123</v>
      </c>
      <c r="K267" s="146" t="s">
        <v>29</v>
      </c>
      <c r="L267" s="59" t="s">
        <v>24</v>
      </c>
      <c r="P267" s="45"/>
      <c r="U267" s="45"/>
      <c r="V267" s="107"/>
      <c r="W267" s="53"/>
      <c r="X267" s="6"/>
      <c r="Z267" s="1"/>
      <c r="AA267" s="1"/>
    </row>
    <row r="268" spans="1:27" s="4" customFormat="1" ht="12.75" customHeight="1">
      <c r="A268" s="1"/>
      <c r="B268" s="5"/>
      <c r="C268" s="96" t="s">
        <v>385</v>
      </c>
      <c r="D268" s="6">
        <f>MIN(D265/1024,1)</f>
        <v>1</v>
      </c>
      <c r="E268" s="6"/>
      <c r="F268" s="331">
        <v>0</v>
      </c>
      <c r="G268" s="17"/>
      <c r="H268" s="13">
        <f>(F268)*D268</f>
        <v>0</v>
      </c>
      <c r="I268" s="16"/>
      <c r="J268" s="292">
        <v>12</v>
      </c>
      <c r="K268" s="16"/>
      <c r="L268" s="13">
        <f>H268*J268</f>
        <v>0</v>
      </c>
      <c r="P268" s="13"/>
      <c r="U268" s="13"/>
      <c r="V268" s="107"/>
      <c r="W268" s="53"/>
      <c r="X268" s="6"/>
      <c r="Z268" s="1"/>
      <c r="AA268" s="1"/>
    </row>
    <row r="269" spans="1:27" s="4" customFormat="1" ht="12.75" customHeight="1">
      <c r="A269" s="1"/>
      <c r="B269" s="5"/>
      <c r="C269" s="96" t="s">
        <v>387</v>
      </c>
      <c r="D269" s="6">
        <f>MIN(((D265/1024)-SUM($D268:D$268)/1024),10)*1024</f>
        <v>5899</v>
      </c>
      <c r="E269" s="6"/>
      <c r="F269" s="331">
        <v>0.12</v>
      </c>
      <c r="G269" s="17"/>
      <c r="H269" s="13">
        <f>(F269)*D269</f>
        <v>707.88</v>
      </c>
      <c r="I269" s="16"/>
      <c r="J269" s="292">
        <v>12</v>
      </c>
      <c r="K269" s="16"/>
      <c r="L269" s="13">
        <f>H269*J269</f>
        <v>8494.56</v>
      </c>
      <c r="P269" s="13"/>
      <c r="U269" s="13"/>
      <c r="V269" s="107"/>
      <c r="W269" s="53"/>
      <c r="X269" s="6"/>
      <c r="Z269" s="1"/>
      <c r="AA269" s="1"/>
    </row>
    <row r="270" spans="1:27" s="4" customFormat="1" ht="12.75" customHeight="1">
      <c r="A270" s="1"/>
      <c r="B270" s="5"/>
      <c r="C270" s="96" t="s">
        <v>2</v>
      </c>
      <c r="D270" s="6">
        <f>MIN(((D265/1024)-SUM($D$268:D269)/1024),40)*1024</f>
        <v>0</v>
      </c>
      <c r="E270" s="6"/>
      <c r="F270" s="331">
        <v>0.09</v>
      </c>
      <c r="G270" s="17"/>
      <c r="H270" s="13">
        <f>(F270)*D270</f>
        <v>0</v>
      </c>
      <c r="I270" s="16"/>
      <c r="J270" s="292">
        <v>12</v>
      </c>
      <c r="K270" s="16"/>
      <c r="L270" s="13">
        <f>H270*J270</f>
        <v>0</v>
      </c>
      <c r="P270" s="13"/>
      <c r="U270" s="13"/>
      <c r="V270" s="107"/>
      <c r="W270" s="53"/>
      <c r="X270" s="6"/>
      <c r="Z270" s="1"/>
      <c r="AA270" s="1"/>
    </row>
    <row r="271" spans="1:27" s="4" customFormat="1" ht="12.75" customHeight="1">
      <c r="A271" s="1"/>
      <c r="B271" s="5"/>
      <c r="C271" s="96" t="s">
        <v>3</v>
      </c>
      <c r="D271" s="6">
        <f>MIN(((D265/1024)-SUM($D$268:D270)/1024),100)*1024</f>
        <v>0</v>
      </c>
      <c r="E271" s="6"/>
      <c r="F271" s="331">
        <v>0.07</v>
      </c>
      <c r="G271" s="17"/>
      <c r="H271" s="13">
        <f>(F271)*D271</f>
        <v>0</v>
      </c>
      <c r="I271" s="16"/>
      <c r="J271" s="292">
        <v>12</v>
      </c>
      <c r="K271" s="16"/>
      <c r="L271" s="13">
        <f>H271*J271</f>
        <v>0</v>
      </c>
      <c r="P271" s="13"/>
      <c r="U271" s="13"/>
      <c r="V271" s="107"/>
      <c r="W271" s="53"/>
      <c r="X271" s="6"/>
      <c r="Z271" s="1"/>
      <c r="AA271" s="1"/>
    </row>
    <row r="272" spans="1:27" s="4" customFormat="1" ht="12.75" customHeight="1">
      <c r="A272" s="1"/>
      <c r="B272" s="5"/>
      <c r="C272" s="96" t="s">
        <v>4</v>
      </c>
      <c r="D272" s="44">
        <f>MAX(D265-SUM(D268:D271),0)</f>
        <v>0</v>
      </c>
      <c r="E272" s="6"/>
      <c r="F272" s="331">
        <v>0.05</v>
      </c>
      <c r="G272" s="17"/>
      <c r="H272" s="34">
        <f>(F272)*D272</f>
        <v>0</v>
      </c>
      <c r="I272" s="16"/>
      <c r="J272" s="292">
        <v>12</v>
      </c>
      <c r="K272" s="16"/>
      <c r="L272" s="34">
        <f>H272*J272</f>
        <v>0</v>
      </c>
      <c r="P272" s="13"/>
      <c r="U272" s="13"/>
      <c r="V272" s="107"/>
      <c r="W272" s="53"/>
      <c r="X272" s="6"/>
      <c r="Z272" s="1"/>
      <c r="AA272" s="1"/>
    </row>
    <row r="273" spans="1:27" s="4" customFormat="1" ht="12.75" customHeight="1">
      <c r="A273" s="1"/>
      <c r="B273" s="5"/>
      <c r="C273" s="129"/>
      <c r="D273" s="25">
        <f>SUM(D268:D272)</f>
        <v>5900</v>
      </c>
      <c r="E273" s="6"/>
      <c r="F273" s="409"/>
      <c r="G273" s="17"/>
      <c r="H273" s="35">
        <f>SUM(H268:H272)</f>
        <v>707.88</v>
      </c>
      <c r="I273" s="16"/>
      <c r="J273" s="10"/>
      <c r="K273" s="16"/>
      <c r="L273" s="124">
        <f>SUM(L268:L272)</f>
        <v>8494.56</v>
      </c>
      <c r="P273" s="124"/>
      <c r="U273" s="124"/>
      <c r="V273" s="107"/>
      <c r="W273" s="53"/>
      <c r="X273" s="6"/>
      <c r="Z273" s="1"/>
      <c r="AA273" s="1"/>
    </row>
    <row r="274" spans="1:27" s="4" customFormat="1" ht="12.75" customHeight="1">
      <c r="A274" s="1"/>
      <c r="B274" s="5"/>
      <c r="C274" s="119"/>
      <c r="D274" s="44"/>
      <c r="E274" s="44"/>
      <c r="F274" s="299"/>
      <c r="G274" s="100"/>
      <c r="H274" s="34"/>
      <c r="I274" s="99"/>
      <c r="J274" s="120"/>
      <c r="K274" s="99"/>
      <c r="L274" s="44"/>
      <c r="M274" s="100"/>
      <c r="N274" s="44"/>
      <c r="O274" s="100"/>
      <c r="P274" s="44"/>
      <c r="Q274" s="100"/>
      <c r="R274" s="44"/>
      <c r="S274" s="100"/>
      <c r="T274" s="100"/>
      <c r="U274" s="100"/>
      <c r="V274" s="121"/>
      <c r="W274" s="53"/>
      <c r="X274" s="6"/>
      <c r="Z274" s="1"/>
      <c r="AA274" s="1"/>
    </row>
    <row r="275" spans="1:27" s="4" customFormat="1" ht="13.5" thickBot="1">
      <c r="A275" s="1"/>
      <c r="B275" s="20"/>
      <c r="C275" s="21"/>
      <c r="D275" s="21"/>
      <c r="E275" s="21"/>
      <c r="F275" s="21"/>
      <c r="G275" s="21"/>
      <c r="H275" s="21"/>
      <c r="I275" s="21"/>
      <c r="J275" s="21"/>
      <c r="K275" s="21"/>
      <c r="L275" s="21"/>
      <c r="M275" s="21"/>
      <c r="N275" s="21"/>
      <c r="O275" s="21"/>
      <c r="P275" s="21"/>
      <c r="Q275" s="21"/>
      <c r="R275" s="21"/>
      <c r="S275" s="21"/>
      <c r="T275" s="21"/>
      <c r="U275" s="21"/>
      <c r="V275" s="31"/>
      <c r="W275" s="55"/>
      <c r="X275" s="16"/>
      <c r="Z275" s="1"/>
      <c r="AA275" s="1"/>
    </row>
    <row r="277" spans="1:27" s="4" customFormat="1" ht="12.75">
      <c r="A277" s="1"/>
      <c r="B277" s="1"/>
      <c r="C277" s="57" t="s">
        <v>391</v>
      </c>
      <c r="D277" s="1"/>
      <c r="E277" s="1"/>
      <c r="F277" s="1"/>
      <c r="G277" s="1"/>
      <c r="H277" s="1"/>
      <c r="I277" s="1"/>
      <c r="J277" s="1"/>
      <c r="K277" s="1"/>
      <c r="L277" s="1"/>
      <c r="M277" s="1"/>
      <c r="N277" s="1"/>
      <c r="O277" s="1"/>
      <c r="P277" s="1"/>
      <c r="Q277" s="1"/>
      <c r="R277" s="1"/>
      <c r="S277" s="1"/>
      <c r="T277" s="1"/>
      <c r="U277" s="1"/>
      <c r="V277" s="7"/>
      <c r="W277" s="7"/>
      <c r="X277" s="16"/>
      <c r="Z277" s="1"/>
      <c r="AA277" s="1"/>
    </row>
    <row r="284" ht="12.75">
      <c r="D284" s="19"/>
    </row>
    <row r="286" spans="3:4" ht="12.75">
      <c r="C286" s="26"/>
      <c r="D286" s="300"/>
    </row>
    <row r="287" spans="3:4" ht="12.75">
      <c r="C287" s="26"/>
      <c r="D287" s="300"/>
    </row>
    <row r="288" spans="3:4" ht="12.75">
      <c r="C288" s="26"/>
      <c r="D288" s="300"/>
    </row>
  </sheetData>
  <sheetProtection/>
  <mergeCells count="21">
    <mergeCell ref="F266:H266"/>
    <mergeCell ref="K266:N266"/>
    <mergeCell ref="D133:F133"/>
    <mergeCell ref="H133:J133"/>
    <mergeCell ref="L133:N133"/>
    <mergeCell ref="C42:V42"/>
    <mergeCell ref="D56:F56"/>
    <mergeCell ref="D145:F145"/>
    <mergeCell ref="H145:J145"/>
    <mergeCell ref="L145:N145"/>
    <mergeCell ref="H83:V84"/>
    <mergeCell ref="E27:V27"/>
    <mergeCell ref="H109:J109"/>
    <mergeCell ref="L109:N109"/>
    <mergeCell ref="H121:J121"/>
    <mergeCell ref="L121:N121"/>
    <mergeCell ref="D109:F109"/>
    <mergeCell ref="D55:J55"/>
    <mergeCell ref="E28:V28"/>
    <mergeCell ref="D121:F121"/>
    <mergeCell ref="C93:V93"/>
  </mergeCells>
  <conditionalFormatting sqref="D30 D10 G10:G11">
    <cfRule type="expression" priority="85" dxfId="4" stopIfTrue="1">
      <formula>AND($M$59="Windows")</formula>
    </cfRule>
  </conditionalFormatting>
  <hyperlinks>
    <hyperlink ref="D44" location="EC2_SteadyStateInstances" display="No. of Baseline Instances*"/>
    <hyperlink ref="F44" location="EC2_PeakInstances" display="No. of Peak Instances*"/>
    <hyperlink ref="N44" location="EC2_PeakUsage" display="Average Annual Usage of Peak Instances*"/>
    <hyperlink ref="D107:J107" location="EC2_InstancePricing" display="Reserved Instance Pricing (Linux/Unix only)"/>
    <hyperlink ref="F255" location="EC2_DataTransferPricing" display="Price per GB per Month"/>
    <hyperlink ref="F266" location="EC2_DataTransferPricing" display="Price per GB per Month"/>
    <hyperlink ref="J1" location="Overview_Goto" display="Main"/>
    <hyperlink ref="N1" location="Colo_Goto" display="Co-Location"/>
    <hyperlink ref="P1" location="Onsite_Goto" display="On-Site"/>
    <hyperlink ref="L44" location="EC2_SteadyStateUsage" display="Average Annual Usage of Baseline Instances*"/>
    <hyperlink ref="C1" r:id="rId1" display="AWS Economics Center"/>
    <hyperlink ref="D107:L107" location="EC2_InstancePricing" display="Reserved Instance Pricing"/>
    <hyperlink ref="D1" r:id="rId2" display="User Guide"/>
    <hyperlink ref="P107" location="EC2_InstancePricing" display="Reserved Instance Pricing"/>
  </hyperlinks>
  <printOptions/>
  <pageMargins left="0.7" right="0.7" top="0.75" bottom="0.75" header="0.3" footer="0.3"/>
  <pageSetup fitToHeight="4" fitToWidth="1" horizontalDpi="600" verticalDpi="600" orientation="portrait" scale="67" r:id="rId4"/>
  <drawing r:id="rId3"/>
</worksheet>
</file>

<file path=xl/worksheets/sheet4.xml><?xml version="1.0" encoding="utf-8"?>
<worksheet xmlns="http://schemas.openxmlformats.org/spreadsheetml/2006/main" xmlns:r="http://schemas.openxmlformats.org/officeDocument/2006/relationships">
  <sheetPr codeName="Sheet11">
    <pageSetUpPr fitToPage="1"/>
  </sheetPr>
  <dimension ref="A1:AB177"/>
  <sheetViews>
    <sheetView showGridLines="0" zoomScale="115" zoomScaleNormal="115" workbookViewId="0" topLeftCell="A1">
      <pane ySplit="1" topLeftCell="A2" activePane="bottomLeft" state="frozen"/>
      <selection pane="topLeft" activeCell="Q1" activeCellId="6" sqref="E1:E16384 G1:G16384 I1:I16384 K1:K16384 M1:M16384 O1:O16384 Q1:Q16384"/>
      <selection pane="bottomLeft" activeCell="A2" sqref="A2"/>
    </sheetView>
  </sheetViews>
  <sheetFormatPr defaultColWidth="9.140625" defaultRowHeight="15"/>
  <cols>
    <col min="1" max="2" width="3.140625" style="1" customWidth="1"/>
    <col min="3" max="3" width="32.57421875" style="4" customWidth="1"/>
    <col min="4" max="4" width="11.8515625" style="1" customWidth="1"/>
    <col min="5" max="5" width="3.28125" style="1" customWidth="1"/>
    <col min="6" max="6" width="11.8515625" style="1" customWidth="1"/>
    <col min="7" max="7" width="3.28125" style="1" customWidth="1"/>
    <col min="8" max="8" width="11.8515625" style="1" customWidth="1"/>
    <col min="9" max="9" width="3.28125" style="1" customWidth="1"/>
    <col min="10" max="10" width="11.8515625" style="1" customWidth="1"/>
    <col min="11" max="11" width="3.28125" style="1" customWidth="1"/>
    <col min="12" max="12" width="11.8515625" style="1" customWidth="1"/>
    <col min="13" max="13" width="3.28125" style="1" customWidth="1"/>
    <col min="14" max="14" width="11.8515625" style="1" customWidth="1"/>
    <col min="15" max="15" width="3.28125" style="1" customWidth="1"/>
    <col min="16" max="16" width="11.8515625" style="7" customWidth="1"/>
    <col min="17" max="17" width="3.28125" style="16" customWidth="1"/>
    <col min="18" max="18" width="12.00390625" style="16" customWidth="1"/>
    <col min="19" max="19" width="1.57421875" style="4" customWidth="1"/>
    <col min="20" max="20" width="1.7109375" style="1" customWidth="1"/>
    <col min="21" max="16384" width="9.140625" style="1" customWidth="1"/>
  </cols>
  <sheetData>
    <row r="1" spans="3:16" ht="13.5" thickBot="1">
      <c r="C1" s="398" t="s">
        <v>373</v>
      </c>
      <c r="D1" s="412" t="s">
        <v>372</v>
      </c>
      <c r="H1" s="238"/>
      <c r="J1" s="122" t="s">
        <v>327</v>
      </c>
      <c r="K1" s="7"/>
      <c r="L1" s="122" t="s">
        <v>271</v>
      </c>
      <c r="M1" s="7"/>
      <c r="N1" s="237" t="s">
        <v>272</v>
      </c>
      <c r="O1" s="7"/>
      <c r="P1" s="122" t="s">
        <v>273</v>
      </c>
    </row>
    <row r="2" spans="2:17" ht="12.75">
      <c r="B2" s="67"/>
      <c r="C2" s="2"/>
      <c r="D2" s="2"/>
      <c r="E2" s="2"/>
      <c r="F2" s="2"/>
      <c r="G2" s="2"/>
      <c r="H2" s="2"/>
      <c r="I2" s="2"/>
      <c r="J2" s="2"/>
      <c r="K2" s="2"/>
      <c r="L2" s="2"/>
      <c r="M2" s="2"/>
      <c r="N2" s="2"/>
      <c r="O2" s="2"/>
      <c r="P2" s="30"/>
      <c r="Q2" s="153"/>
    </row>
    <row r="3" spans="1:22" s="4" customFormat="1" ht="21">
      <c r="A3" s="1"/>
      <c r="B3" s="5"/>
      <c r="C3" s="400" t="s">
        <v>126</v>
      </c>
      <c r="Q3" s="154"/>
      <c r="R3" s="16"/>
      <c r="T3" s="1"/>
      <c r="U3" s="7"/>
      <c r="V3" s="1"/>
    </row>
    <row r="4" spans="1:22" s="4" customFormat="1" ht="15.75">
      <c r="A4" s="1"/>
      <c r="B4" s="5"/>
      <c r="C4" s="403" t="s">
        <v>56</v>
      </c>
      <c r="P4" s="7"/>
      <c r="Q4" s="154"/>
      <c r="R4" s="16"/>
      <c r="T4" s="1"/>
      <c r="U4" s="1"/>
      <c r="V4" s="1"/>
    </row>
    <row r="5" spans="1:28" s="4" customFormat="1" ht="12.75">
      <c r="A5" s="1"/>
      <c r="B5" s="5"/>
      <c r="C5" s="4" t="s">
        <v>281</v>
      </c>
      <c r="D5" s="7"/>
      <c r="E5" s="7"/>
      <c r="Q5" s="154"/>
      <c r="R5" s="16"/>
      <c r="T5" s="1"/>
      <c r="U5" s="1"/>
      <c r="W5" s="7"/>
      <c r="X5" s="13"/>
      <c r="Z5" s="13"/>
      <c r="AB5" s="13"/>
    </row>
    <row r="6" spans="1:26" s="4" customFormat="1" ht="16.5" thickBot="1">
      <c r="A6" s="1"/>
      <c r="B6" s="5"/>
      <c r="C6" s="104" t="s">
        <v>232</v>
      </c>
      <c r="D6" s="37"/>
      <c r="E6" s="38"/>
      <c r="F6" s="37"/>
      <c r="G6" s="38"/>
      <c r="H6" s="37"/>
      <c r="I6" s="38"/>
      <c r="J6" s="37"/>
      <c r="K6" s="38"/>
      <c r="L6" s="37"/>
      <c r="M6" s="39"/>
      <c r="N6" s="39"/>
      <c r="O6" s="39"/>
      <c r="P6" s="38"/>
      <c r="Q6" s="155"/>
      <c r="R6" s="56"/>
      <c r="T6" s="1"/>
      <c r="U6" s="1"/>
      <c r="V6" s="1"/>
      <c r="Z6" s="15" t="s">
        <v>8</v>
      </c>
    </row>
    <row r="7" spans="1:22" s="4" customFormat="1" ht="12.75">
      <c r="A7" s="1"/>
      <c r="B7" s="5"/>
      <c r="C7" s="70"/>
      <c r="D7" s="70"/>
      <c r="E7" s="70"/>
      <c r="F7" s="2"/>
      <c r="G7" s="2"/>
      <c r="H7" s="2"/>
      <c r="I7" s="2"/>
      <c r="J7" s="2"/>
      <c r="K7" s="2"/>
      <c r="L7" s="2"/>
      <c r="M7" s="2"/>
      <c r="N7" s="2"/>
      <c r="O7" s="2"/>
      <c r="P7" s="2"/>
      <c r="Q7" s="54"/>
      <c r="R7" s="16"/>
      <c r="T7" s="1"/>
      <c r="U7" s="1"/>
      <c r="V7" s="1"/>
    </row>
    <row r="8" spans="1:22" s="4" customFormat="1" ht="12.75">
      <c r="A8" s="1"/>
      <c r="B8" s="5"/>
      <c r="C8" s="3"/>
      <c r="D8" s="47" t="s">
        <v>82</v>
      </c>
      <c r="E8" s="11" t="s">
        <v>81</v>
      </c>
      <c r="K8" s="3"/>
      <c r="L8" s="89"/>
      <c r="M8" s="89"/>
      <c r="N8" s="89"/>
      <c r="O8" s="89"/>
      <c r="P8" s="89"/>
      <c r="Q8" s="54"/>
      <c r="R8" s="16"/>
      <c r="T8" s="1"/>
      <c r="U8" s="1"/>
      <c r="V8" s="1"/>
    </row>
    <row r="9" spans="1:22" s="4" customFormat="1" ht="12.75">
      <c r="A9" s="1"/>
      <c r="B9" s="5"/>
      <c r="C9" s="233" t="s">
        <v>70</v>
      </c>
      <c r="D9" s="85">
        <f>D26</f>
        <v>121000</v>
      </c>
      <c r="E9" s="4" t="str">
        <f>"Purchase price of "&amp;FIXED(H38,0,0)&amp;" total servers ($"&amp;FIXED(D25,0,0)&amp;") divided by useful life of "&amp;N30&amp;" years"</f>
        <v>Purchase price of 1,000 total servers ($363,000) divided by useful life of 3 years</v>
      </c>
      <c r="K9" s="3"/>
      <c r="L9" s="122"/>
      <c r="M9" s="7"/>
      <c r="N9" s="7"/>
      <c r="O9" s="7"/>
      <c r="P9" s="7"/>
      <c r="Q9" s="54"/>
      <c r="R9" s="16"/>
      <c r="T9" s="1"/>
      <c r="U9" s="1"/>
      <c r="V9" s="1"/>
    </row>
    <row r="10" spans="1:22" s="4" customFormat="1" ht="12.75">
      <c r="A10" s="1"/>
      <c r="B10" s="5"/>
      <c r="C10" s="233" t="s">
        <v>71</v>
      </c>
      <c r="D10" s="8">
        <f>D46</f>
        <v>24200</v>
      </c>
      <c r="E10" s="4" t="str">
        <f>"Purchase price of "&amp;FIXED(H38,0,0)&amp;" total servers ($"&amp;FIXED(D25,0,0)&amp;") multiplied by "&amp;F50*100&amp;"%, divided by useful life of "&amp;J50&amp;" years"</f>
        <v>Purchase price of 1,000 total servers ($363,000) multiplied by 20%, divided by useful life of 3 years</v>
      </c>
      <c r="K10" s="3"/>
      <c r="L10" s="7"/>
      <c r="M10" s="7"/>
      <c r="N10" s="7"/>
      <c r="O10" s="7"/>
      <c r="P10" s="7"/>
      <c r="Q10" s="54"/>
      <c r="R10" s="16"/>
      <c r="T10" s="1"/>
      <c r="U10" s="1"/>
      <c r="V10" s="1"/>
    </row>
    <row r="11" spans="1:22" s="4" customFormat="1" ht="12.75">
      <c r="A11" s="1"/>
      <c r="B11" s="5"/>
      <c r="C11" s="233" t="s">
        <v>72</v>
      </c>
      <c r="D11" s="85">
        <f>D55</f>
        <v>43560</v>
      </c>
      <c r="E11" s="4" t="str">
        <f>"Purchase price of server and network hardware ($"&amp;FIXED(D25+D45,0,0)&amp;") multipled by "&amp;J59*100&amp;"% annual maintenance fee"</f>
        <v>Purchase price of server and network hardware ($435,600) multipled by 10% annual maintenance fee</v>
      </c>
      <c r="K11" s="3"/>
      <c r="L11" s="7"/>
      <c r="M11" s="7"/>
      <c r="N11" s="7"/>
      <c r="O11" s="7"/>
      <c r="P11" s="7"/>
      <c r="Q11" s="54"/>
      <c r="R11" s="16"/>
      <c r="T11" s="1"/>
      <c r="U11" s="1"/>
      <c r="V11" s="1"/>
    </row>
    <row r="12" spans="1:22" s="4" customFormat="1" ht="12.75">
      <c r="A12" s="1"/>
      <c r="B12" s="5"/>
      <c r="C12" s="233" t="s">
        <v>200</v>
      </c>
      <c r="D12" s="85">
        <f>D65</f>
        <v>0</v>
      </c>
      <c r="E12" s="4" t="str">
        <f>"Purchase price of "&amp;L70&amp;" OS (@ $"&amp;FIXED(F73,0,0)&amp;" per server) multiplied by "&amp;FIXED(D73,0,0)&amp;" servers divided by useful life of "&amp;FIXED(J73,0,0)&amp;" years"</f>
        <v>Purchase price of  OS (@ $0 per server) multiplied by 1,000 servers divided by useful life of 3 years</v>
      </c>
      <c r="K12" s="3"/>
      <c r="L12" s="7"/>
      <c r="M12" s="7"/>
      <c r="N12" s="7"/>
      <c r="O12" s="7"/>
      <c r="P12" s="7"/>
      <c r="Q12" s="54"/>
      <c r="R12" s="16"/>
      <c r="T12" s="1"/>
      <c r="U12" s="1"/>
      <c r="V12" s="1"/>
    </row>
    <row r="13" spans="1:22" s="4" customFormat="1" ht="12.75">
      <c r="A13" s="1"/>
      <c r="B13" s="5"/>
      <c r="C13" s="233" t="s">
        <v>73</v>
      </c>
      <c r="D13" s="85">
        <f>D121</f>
        <v>968576</v>
      </c>
      <c r="E13" s="4" t="str">
        <f>"Assumes "&amp;FIXED(L103,0,0)&amp;" rack units (U); initial non-recurring cost of $"&amp;F125&amp;" per U and monthly recurring cost of $"&amp;F129&amp;" per U"</f>
        <v>Assumes 2,632 rack units (U); initial non-recurring cost of $24 per U and monthly recurring cost of $30 per U</v>
      </c>
      <c r="K13" s="3"/>
      <c r="L13" s="7"/>
      <c r="M13" s="7"/>
      <c r="N13" s="7"/>
      <c r="O13" s="7"/>
      <c r="P13" s="7"/>
      <c r="Q13" s="54"/>
      <c r="R13" s="16"/>
      <c r="T13" s="1"/>
      <c r="U13" s="1"/>
      <c r="V13" s="1"/>
    </row>
    <row r="14" spans="1:22" s="4" customFormat="1" ht="12.75">
      <c r="A14" s="1"/>
      <c r="B14" s="5"/>
      <c r="C14" s="233" t="s">
        <v>74</v>
      </c>
      <c r="D14" s="85">
        <f>D135</f>
        <v>15000</v>
      </c>
      <c r="E14" s="4" t="str">
        <f>"Assumes "&amp;F139*100&amp;"% annual server failure rate, "&amp;H139&amp;" repair hour per failure, and a repair rate of $"&amp;J139&amp;" per hour"</f>
        <v>Assumes 10% annual server failure rate, 1 repair hour per failure, and a repair rate of $150 per hour</v>
      </c>
      <c r="K14" s="3"/>
      <c r="L14" s="7"/>
      <c r="M14" s="7"/>
      <c r="N14" s="7"/>
      <c r="O14" s="7"/>
      <c r="P14" s="7"/>
      <c r="Q14" s="54"/>
      <c r="R14" s="16"/>
      <c r="T14" s="1"/>
      <c r="U14" s="1"/>
      <c r="V14" s="1"/>
    </row>
    <row r="15" spans="1:22" s="4" customFormat="1" ht="12.75">
      <c r="A15" s="1"/>
      <c r="B15" s="5"/>
      <c r="C15" s="233" t="s">
        <v>166</v>
      </c>
      <c r="D15" s="86">
        <f>D144</f>
        <v>23109.94535519126</v>
      </c>
      <c r="E15" s="4" t="str">
        <f>"Assumes peak monthly transfer of "&amp;FIXED(P148,1)&amp;" mbps charged at $"&amp;F164&amp;" per Mb per month"</f>
        <v>Assumes peak monthly transfer of 27.5 mbps charged at $70 per Mb per month</v>
      </c>
      <c r="K15" s="3"/>
      <c r="L15" s="7"/>
      <c r="M15" s="7"/>
      <c r="N15" s="7"/>
      <c r="O15" s="7"/>
      <c r="P15" s="7"/>
      <c r="Q15" s="54"/>
      <c r="R15" s="16"/>
      <c r="T15" s="1"/>
      <c r="U15" s="1"/>
      <c r="V15" s="1"/>
    </row>
    <row r="16" spans="1:22" s="4" customFormat="1" ht="12.75">
      <c r="A16" s="1"/>
      <c r="B16" s="5"/>
      <c r="C16" s="3"/>
      <c r="D16" s="84">
        <f>SUM(D9:D15)</f>
        <v>1195445.9453551914</v>
      </c>
      <c r="K16" s="3"/>
      <c r="Q16" s="54"/>
      <c r="R16" s="16"/>
      <c r="T16" s="1"/>
      <c r="U16" s="1"/>
      <c r="V16" s="1"/>
    </row>
    <row r="17" spans="1:22" s="4" customFormat="1" ht="12.75">
      <c r="A17" s="1"/>
      <c r="B17" s="5"/>
      <c r="C17" s="3"/>
      <c r="D17" s="84"/>
      <c r="K17" s="3"/>
      <c r="Q17" s="54"/>
      <c r="R17" s="16"/>
      <c r="T17" s="1"/>
      <c r="U17" s="1"/>
      <c r="V17" s="1"/>
    </row>
    <row r="18" spans="1:22" s="4" customFormat="1" ht="12.75">
      <c r="A18" s="1"/>
      <c r="B18" s="5"/>
      <c r="C18" s="3"/>
      <c r="D18" s="3"/>
      <c r="E18" s="176" t="s">
        <v>151</v>
      </c>
      <c r="Q18" s="54"/>
      <c r="R18" s="16"/>
      <c r="T18" s="1"/>
      <c r="U18" s="1"/>
      <c r="V18" s="1"/>
    </row>
    <row r="19" spans="1:22" s="4" customFormat="1" ht="12.75">
      <c r="A19" s="1"/>
      <c r="B19" s="5"/>
      <c r="C19" s="3"/>
      <c r="D19" s="3"/>
      <c r="E19" s="3"/>
      <c r="Q19" s="54"/>
      <c r="R19" s="16"/>
      <c r="T19" s="1"/>
      <c r="U19" s="1"/>
      <c r="V19" s="1"/>
    </row>
    <row r="20" spans="1:22" s="4" customFormat="1" ht="15.75">
      <c r="A20" s="1"/>
      <c r="B20" s="5"/>
      <c r="C20" s="104" t="s">
        <v>100</v>
      </c>
      <c r="D20" s="37"/>
      <c r="E20" s="38"/>
      <c r="F20" s="37"/>
      <c r="G20" s="38"/>
      <c r="H20" s="37"/>
      <c r="I20" s="38"/>
      <c r="J20" s="37"/>
      <c r="K20" s="38"/>
      <c r="L20" s="37"/>
      <c r="M20" s="39"/>
      <c r="N20" s="39"/>
      <c r="O20" s="39"/>
      <c r="P20" s="38"/>
      <c r="Q20" s="155"/>
      <c r="R20" s="56"/>
      <c r="T20" s="1"/>
      <c r="U20" s="1"/>
      <c r="V20" s="1"/>
    </row>
    <row r="21" spans="1:22" s="4" customFormat="1" ht="12.75" customHeight="1">
      <c r="A21" s="1"/>
      <c r="B21" s="5"/>
      <c r="D21" s="6"/>
      <c r="E21" s="6"/>
      <c r="F21" s="10"/>
      <c r="G21" s="17"/>
      <c r="H21" s="13"/>
      <c r="I21" s="16"/>
      <c r="J21" s="10"/>
      <c r="K21" s="16"/>
      <c r="L21" s="6"/>
      <c r="M21" s="17"/>
      <c r="N21" s="6"/>
      <c r="O21" s="17"/>
      <c r="P21" s="6"/>
      <c r="Q21" s="53"/>
      <c r="R21" s="6"/>
      <c r="T21" s="1"/>
      <c r="U21" s="1"/>
      <c r="V21" s="1"/>
    </row>
    <row r="22" spans="1:22" s="4" customFormat="1" ht="12.75" customHeight="1">
      <c r="A22" s="1"/>
      <c r="B22" s="5"/>
      <c r="D22" s="6"/>
      <c r="E22" s="6"/>
      <c r="F22" s="10"/>
      <c r="G22" s="17"/>
      <c r="H22" s="13"/>
      <c r="I22" s="16"/>
      <c r="J22" s="10"/>
      <c r="K22" s="16"/>
      <c r="L22" s="6"/>
      <c r="M22" s="17"/>
      <c r="N22" s="217" t="s">
        <v>256</v>
      </c>
      <c r="O22" s="216" t="s">
        <v>257</v>
      </c>
      <c r="P22" s="6"/>
      <c r="Q22" s="53"/>
      <c r="R22" s="6"/>
      <c r="T22" s="1"/>
      <c r="U22" s="1"/>
      <c r="V22" s="1"/>
    </row>
    <row r="23" spans="1:22" s="4" customFormat="1" ht="12.75" customHeight="1" thickBot="1">
      <c r="A23" s="1"/>
      <c r="B23" s="5"/>
      <c r="C23" s="123" t="s">
        <v>84</v>
      </c>
      <c r="D23" s="71"/>
      <c r="E23" s="71"/>
      <c r="F23" s="72"/>
      <c r="G23" s="73"/>
      <c r="H23" s="74"/>
      <c r="I23" s="33"/>
      <c r="J23" s="72"/>
      <c r="K23" s="33"/>
      <c r="L23" s="71"/>
      <c r="M23" s="73"/>
      <c r="N23" s="71"/>
      <c r="O23" s="73"/>
      <c r="P23" s="71"/>
      <c r="Q23" s="53"/>
      <c r="R23" s="6"/>
      <c r="T23" s="1"/>
      <c r="U23" s="1"/>
      <c r="V23" s="1"/>
    </row>
    <row r="24" spans="1:22" s="4" customFormat="1" ht="12.75" customHeight="1">
      <c r="A24" s="1"/>
      <c r="B24" s="5"/>
      <c r="C24" s="92"/>
      <c r="D24" s="6"/>
      <c r="E24" s="6"/>
      <c r="F24" s="10"/>
      <c r="G24" s="17"/>
      <c r="H24" s="13"/>
      <c r="I24" s="16"/>
      <c r="J24" s="10"/>
      <c r="K24" s="16"/>
      <c r="L24" s="6"/>
      <c r="M24" s="17"/>
      <c r="N24" s="6"/>
      <c r="O24" s="17"/>
      <c r="P24" s="6"/>
      <c r="Q24" s="53"/>
      <c r="R24" s="6"/>
      <c r="T24" s="1"/>
      <c r="U24" s="1"/>
      <c r="V24" s="1"/>
    </row>
    <row r="25" spans="1:22" s="4" customFormat="1" ht="12.75" customHeight="1">
      <c r="A25" s="1"/>
      <c r="B25" s="5"/>
      <c r="C25" s="11" t="s">
        <v>21</v>
      </c>
      <c r="D25" s="35">
        <f>L38</f>
        <v>363000</v>
      </c>
      <c r="E25" s="78"/>
      <c r="F25" s="4" t="s">
        <v>23</v>
      </c>
      <c r="G25" s="27"/>
      <c r="H25" s="35"/>
      <c r="I25" s="40"/>
      <c r="J25" s="23"/>
      <c r="K25" s="16"/>
      <c r="L25" s="6"/>
      <c r="M25" s="17"/>
      <c r="N25" s="6"/>
      <c r="O25" s="17"/>
      <c r="P25" s="6"/>
      <c r="Q25" s="53"/>
      <c r="R25" s="6"/>
      <c r="T25" s="1"/>
      <c r="U25" s="1"/>
      <c r="V25" s="1"/>
    </row>
    <row r="26" spans="1:22" s="4" customFormat="1" ht="12.75" customHeight="1">
      <c r="A26" s="1"/>
      <c r="B26" s="5"/>
      <c r="C26" s="93" t="s">
        <v>22</v>
      </c>
      <c r="D26" s="35">
        <f>P38</f>
        <v>121000</v>
      </c>
      <c r="E26" s="78"/>
      <c r="F26" s="185" t="s">
        <v>60</v>
      </c>
      <c r="G26" s="27"/>
      <c r="H26" s="35"/>
      <c r="I26" s="40"/>
      <c r="J26" s="23"/>
      <c r="K26" s="16"/>
      <c r="L26" s="6"/>
      <c r="M26" s="17"/>
      <c r="N26" s="6"/>
      <c r="O26" s="17"/>
      <c r="P26" s="6"/>
      <c r="Q26" s="53"/>
      <c r="R26" s="6"/>
      <c r="T26" s="1"/>
      <c r="U26" s="1"/>
      <c r="V26" s="1"/>
    </row>
    <row r="27" spans="1:22" s="4" customFormat="1" ht="12.75" customHeight="1">
      <c r="A27" s="1"/>
      <c r="B27" s="5"/>
      <c r="D27" s="6"/>
      <c r="E27" s="6"/>
      <c r="F27" s="10"/>
      <c r="G27" s="17"/>
      <c r="H27" s="13"/>
      <c r="I27" s="16"/>
      <c r="J27" s="10"/>
      <c r="K27" s="16"/>
      <c r="L27" s="6"/>
      <c r="M27" s="17"/>
      <c r="N27" s="6"/>
      <c r="O27" s="17"/>
      <c r="P27" s="6"/>
      <c r="Q27" s="53"/>
      <c r="R27" s="6"/>
      <c r="T27" s="1"/>
      <c r="U27" s="1"/>
      <c r="V27" s="1"/>
    </row>
    <row r="28" spans="1:22" s="4" customFormat="1" ht="12.75" customHeight="1">
      <c r="A28" s="1"/>
      <c r="B28" s="5"/>
      <c r="C28" s="111"/>
      <c r="D28" s="112"/>
      <c r="E28" s="112"/>
      <c r="F28" s="116"/>
      <c r="G28" s="113"/>
      <c r="H28" s="114"/>
      <c r="I28" s="115"/>
      <c r="J28" s="116"/>
      <c r="K28" s="115"/>
      <c r="L28" s="112"/>
      <c r="M28" s="113"/>
      <c r="N28" s="112"/>
      <c r="O28" s="113"/>
      <c r="P28" s="117"/>
      <c r="Q28" s="53"/>
      <c r="R28" s="6"/>
      <c r="T28" s="1"/>
      <c r="U28" s="1"/>
      <c r="V28" s="1"/>
    </row>
    <row r="29" spans="1:22" s="4" customFormat="1" ht="38.25">
      <c r="A29" s="1"/>
      <c r="B29" s="5"/>
      <c r="C29" s="159"/>
      <c r="D29" s="60" t="s">
        <v>51</v>
      </c>
      <c r="E29" s="64" t="s">
        <v>13</v>
      </c>
      <c r="F29" s="60" t="s">
        <v>52</v>
      </c>
      <c r="G29" s="4" t="s">
        <v>29</v>
      </c>
      <c r="H29" s="194" t="s">
        <v>30</v>
      </c>
      <c r="I29" s="4" t="s">
        <v>18</v>
      </c>
      <c r="J29" s="194" t="s">
        <v>9</v>
      </c>
      <c r="K29" s="158" t="s">
        <v>29</v>
      </c>
      <c r="L29" s="61" t="s">
        <v>21</v>
      </c>
      <c r="N29" s="189" t="s">
        <v>86</v>
      </c>
      <c r="P29" s="196" t="s">
        <v>246</v>
      </c>
      <c r="Q29" s="156"/>
      <c r="R29" s="32"/>
      <c r="T29" s="1"/>
      <c r="U29" s="1"/>
      <c r="V29" s="1"/>
    </row>
    <row r="30" spans="1:22" s="4" customFormat="1" ht="12.75">
      <c r="A30" s="1"/>
      <c r="B30" s="5"/>
      <c r="C30" s="182" t="s">
        <v>336</v>
      </c>
      <c r="D30" s="6">
        <f>Main!D29</f>
        <v>300</v>
      </c>
      <c r="E30" s="6"/>
      <c r="F30" s="6">
        <f>Main!D39</f>
        <v>700</v>
      </c>
      <c r="G30" s="17"/>
      <c r="H30" s="6">
        <f aca="true" t="shared" si="0" ref="H30:H37">D30+F30</f>
        <v>1000</v>
      </c>
      <c r="J30" s="332">
        <v>363</v>
      </c>
      <c r="L30" s="13">
        <f aca="true" t="shared" si="1" ref="L30:L37">H30*J30</f>
        <v>363000</v>
      </c>
      <c r="N30" s="461">
        <v>3</v>
      </c>
      <c r="P30" s="97">
        <f aca="true" t="shared" si="2" ref="P30:P37">L30/$N$30</f>
        <v>121000</v>
      </c>
      <c r="Q30" s="53"/>
      <c r="R30" s="6"/>
      <c r="T30" s="1"/>
      <c r="U30" s="1"/>
      <c r="V30" s="1"/>
    </row>
    <row r="31" spans="1:22" s="4" customFormat="1" ht="12.75" customHeight="1">
      <c r="A31" s="1"/>
      <c r="B31" s="5"/>
      <c r="C31" s="182" t="s">
        <v>337</v>
      </c>
      <c r="D31" s="6">
        <f>Main!D30</f>
        <v>0</v>
      </c>
      <c r="E31" s="6"/>
      <c r="F31" s="6">
        <f>Main!D40</f>
        <v>0</v>
      </c>
      <c r="G31" s="17"/>
      <c r="H31" s="6">
        <f t="shared" si="0"/>
        <v>0</v>
      </c>
      <c r="J31" s="332">
        <v>1452</v>
      </c>
      <c r="L31" s="13">
        <f t="shared" si="1"/>
        <v>0</v>
      </c>
      <c r="N31" s="462"/>
      <c r="P31" s="97">
        <f t="shared" si="2"/>
        <v>0</v>
      </c>
      <c r="Q31" s="53"/>
      <c r="R31" s="6"/>
      <c r="T31" s="1"/>
      <c r="U31" s="1"/>
      <c r="V31" s="1"/>
    </row>
    <row r="32" spans="1:22" s="4" customFormat="1" ht="12.75" customHeight="1">
      <c r="A32" s="1"/>
      <c r="B32" s="5"/>
      <c r="C32" s="182" t="s">
        <v>338</v>
      </c>
      <c r="D32" s="6">
        <f>Main!D31</f>
        <v>0</v>
      </c>
      <c r="E32" s="6"/>
      <c r="F32" s="6">
        <f>Main!D41</f>
        <v>0</v>
      </c>
      <c r="G32" s="17"/>
      <c r="H32" s="6">
        <f t="shared" si="0"/>
        <v>0</v>
      </c>
      <c r="J32" s="332">
        <v>2903</v>
      </c>
      <c r="L32" s="13">
        <f t="shared" si="1"/>
        <v>0</v>
      </c>
      <c r="N32" s="462"/>
      <c r="P32" s="97">
        <f t="shared" si="2"/>
        <v>0</v>
      </c>
      <c r="Q32" s="53"/>
      <c r="R32" s="6"/>
      <c r="T32" s="1"/>
      <c r="U32" s="1"/>
      <c r="V32" s="1"/>
    </row>
    <row r="33" spans="1:22" s="4" customFormat="1" ht="12.75" customHeight="1">
      <c r="A33" s="1"/>
      <c r="B33" s="5"/>
      <c r="C33" s="182" t="s">
        <v>377</v>
      </c>
      <c r="D33" s="6">
        <f>Main!D32</f>
        <v>0</v>
      </c>
      <c r="E33" s="6"/>
      <c r="F33" s="6">
        <f>Main!D42</f>
        <v>0</v>
      </c>
      <c r="G33" s="17"/>
      <c r="H33" s="6">
        <f>D33+F33</f>
        <v>0</v>
      </c>
      <c r="J33" s="332">
        <v>3237</v>
      </c>
      <c r="L33" s="13">
        <f t="shared" si="1"/>
        <v>0</v>
      </c>
      <c r="N33" s="462"/>
      <c r="P33" s="97">
        <f t="shared" si="2"/>
        <v>0</v>
      </c>
      <c r="Q33" s="53"/>
      <c r="R33" s="6"/>
      <c r="T33" s="1"/>
      <c r="U33" s="1"/>
      <c r="V33" s="1"/>
    </row>
    <row r="34" spans="1:22" s="4" customFormat="1" ht="12.75" customHeight="1">
      <c r="A34" s="1"/>
      <c r="B34" s="5"/>
      <c r="C34" s="182" t="s">
        <v>334</v>
      </c>
      <c r="D34" s="6">
        <f>Main!D33</f>
        <v>0</v>
      </c>
      <c r="E34" s="6"/>
      <c r="F34" s="6">
        <f>Main!D43</f>
        <v>0</v>
      </c>
      <c r="G34" s="17"/>
      <c r="H34" s="6">
        <f t="shared" si="0"/>
        <v>0</v>
      </c>
      <c r="J34" s="332">
        <v>6473</v>
      </c>
      <c r="L34" s="13">
        <f t="shared" si="1"/>
        <v>0</v>
      </c>
      <c r="N34" s="462"/>
      <c r="P34" s="97">
        <f t="shared" si="2"/>
        <v>0</v>
      </c>
      <c r="Q34" s="53"/>
      <c r="R34" s="6"/>
      <c r="T34" s="1"/>
      <c r="U34" s="1"/>
      <c r="V34" s="1"/>
    </row>
    <row r="35" spans="1:22" s="4" customFormat="1" ht="12.75" customHeight="1">
      <c r="A35" s="1"/>
      <c r="B35" s="5"/>
      <c r="C35" s="182" t="s">
        <v>335</v>
      </c>
      <c r="D35" s="6">
        <f>Main!D34</f>
        <v>0</v>
      </c>
      <c r="E35" s="6"/>
      <c r="F35" s="6">
        <f>Main!D44</f>
        <v>0</v>
      </c>
      <c r="G35" s="17"/>
      <c r="H35" s="6">
        <f t="shared" si="0"/>
        <v>0</v>
      </c>
      <c r="J35" s="332">
        <v>12946</v>
      </c>
      <c r="K35" s="408"/>
      <c r="L35" s="13">
        <f>H35*J35</f>
        <v>0</v>
      </c>
      <c r="N35" s="462"/>
      <c r="P35" s="97">
        <f>L35/$N$30</f>
        <v>0</v>
      </c>
      <c r="Q35" s="53"/>
      <c r="R35" s="6"/>
      <c r="T35" s="1"/>
      <c r="U35" s="1"/>
      <c r="V35" s="1"/>
    </row>
    <row r="36" spans="1:22" s="4" customFormat="1" ht="12.75" customHeight="1">
      <c r="A36" s="1"/>
      <c r="B36" s="5"/>
      <c r="C36" s="182" t="s">
        <v>339</v>
      </c>
      <c r="D36" s="6">
        <f>Main!D35</f>
        <v>0</v>
      </c>
      <c r="E36" s="6"/>
      <c r="F36" s="6">
        <f>Main!D45</f>
        <v>0</v>
      </c>
      <c r="G36" s="17"/>
      <c r="H36" s="6">
        <f t="shared" si="0"/>
        <v>0</v>
      </c>
      <c r="J36" s="332">
        <v>682</v>
      </c>
      <c r="L36" s="13">
        <f t="shared" si="1"/>
        <v>0</v>
      </c>
      <c r="N36" s="462"/>
      <c r="P36" s="97">
        <f t="shared" si="2"/>
        <v>0</v>
      </c>
      <c r="Q36" s="53"/>
      <c r="R36" s="6"/>
      <c r="T36" s="1"/>
      <c r="U36" s="1"/>
      <c r="V36" s="1"/>
    </row>
    <row r="37" spans="1:22" s="4" customFormat="1" ht="12.75" customHeight="1">
      <c r="A37" s="1"/>
      <c r="B37" s="5"/>
      <c r="C37" s="182" t="s">
        <v>340</v>
      </c>
      <c r="D37" s="6">
        <f>Main!D36</f>
        <v>0</v>
      </c>
      <c r="E37" s="6"/>
      <c r="F37" s="6">
        <f>Main!D46</f>
        <v>0</v>
      </c>
      <c r="G37" s="17"/>
      <c r="H37" s="44">
        <f t="shared" si="0"/>
        <v>0</v>
      </c>
      <c r="J37" s="332">
        <v>2726</v>
      </c>
      <c r="L37" s="34">
        <f t="shared" si="1"/>
        <v>0</v>
      </c>
      <c r="N37" s="463"/>
      <c r="P37" s="79">
        <f t="shared" si="2"/>
        <v>0</v>
      </c>
      <c r="Q37" s="53"/>
      <c r="R37" s="6"/>
      <c r="T37" s="1"/>
      <c r="U37" s="1"/>
      <c r="V37" s="1"/>
    </row>
    <row r="38" spans="1:22" s="4" customFormat="1" ht="12.75" customHeight="1">
      <c r="A38" s="1"/>
      <c r="B38" s="5"/>
      <c r="C38" s="96"/>
      <c r="D38" s="16"/>
      <c r="E38" s="6"/>
      <c r="F38" s="16"/>
      <c r="G38" s="17"/>
      <c r="H38" s="6">
        <f>SUM(H30:H37)</f>
        <v>1000</v>
      </c>
      <c r="J38" s="13"/>
      <c r="L38" s="195">
        <f>SUM(L30:L37)</f>
        <v>363000</v>
      </c>
      <c r="N38" s="22"/>
      <c r="P38" s="125">
        <f>SUM(P30:P37)</f>
        <v>121000</v>
      </c>
      <c r="Q38" s="53"/>
      <c r="R38" s="6"/>
      <c r="T38" s="1"/>
      <c r="U38" s="1"/>
      <c r="V38" s="1"/>
    </row>
    <row r="39" spans="1:22" s="4" customFormat="1" ht="12.75" customHeight="1">
      <c r="A39" s="1"/>
      <c r="B39" s="5"/>
      <c r="C39" s="96"/>
      <c r="D39" s="16"/>
      <c r="E39" s="6"/>
      <c r="F39" s="16"/>
      <c r="G39" s="17"/>
      <c r="H39" s="6"/>
      <c r="J39" s="13"/>
      <c r="L39" s="195"/>
      <c r="N39" s="22"/>
      <c r="P39" s="125"/>
      <c r="Q39" s="53"/>
      <c r="R39" s="6"/>
      <c r="T39" s="1"/>
      <c r="U39" s="1"/>
      <c r="V39" s="1"/>
    </row>
    <row r="40" spans="1:22" s="4" customFormat="1" ht="12.75" customHeight="1">
      <c r="A40" s="1"/>
      <c r="B40" s="5"/>
      <c r="C40" s="96"/>
      <c r="D40" s="4" t="s">
        <v>329</v>
      </c>
      <c r="E40" s="6"/>
      <c r="F40" s="16"/>
      <c r="G40" s="17"/>
      <c r="H40" s="6"/>
      <c r="J40" s="13"/>
      <c r="L40" s="13"/>
      <c r="N40" s="22"/>
      <c r="P40" s="107"/>
      <c r="Q40" s="53"/>
      <c r="R40" s="6"/>
      <c r="T40" s="1"/>
      <c r="U40" s="1"/>
      <c r="V40" s="1"/>
    </row>
    <row r="41" spans="1:22" s="4" customFormat="1" ht="12.75" customHeight="1">
      <c r="A41" s="1"/>
      <c r="B41" s="5"/>
      <c r="C41" s="98"/>
      <c r="D41" s="101"/>
      <c r="E41" s="44"/>
      <c r="F41" s="99"/>
      <c r="G41" s="100"/>
      <c r="H41" s="44"/>
      <c r="I41" s="101"/>
      <c r="J41" s="34"/>
      <c r="K41" s="101"/>
      <c r="L41" s="34"/>
      <c r="M41" s="101"/>
      <c r="N41" s="102"/>
      <c r="O41" s="101"/>
      <c r="P41" s="108"/>
      <c r="Q41" s="53"/>
      <c r="R41" s="6"/>
      <c r="T41" s="1"/>
      <c r="U41" s="1"/>
      <c r="V41" s="1"/>
    </row>
    <row r="42" spans="1:22" s="4" customFormat="1" ht="12.75" customHeight="1">
      <c r="A42" s="1"/>
      <c r="B42" s="5"/>
      <c r="C42" s="91"/>
      <c r="D42" s="16"/>
      <c r="E42" s="6"/>
      <c r="F42" s="16"/>
      <c r="G42" s="17"/>
      <c r="H42" s="6"/>
      <c r="J42" s="13"/>
      <c r="L42" s="13"/>
      <c r="N42" s="22"/>
      <c r="Q42" s="53"/>
      <c r="R42" s="6"/>
      <c r="T42" s="1"/>
      <c r="U42" s="1"/>
      <c r="V42" s="1"/>
    </row>
    <row r="43" spans="1:22" s="4" customFormat="1" ht="12.75" customHeight="1" thickBot="1">
      <c r="A43" s="1"/>
      <c r="B43" s="5"/>
      <c r="C43" s="123" t="s">
        <v>45</v>
      </c>
      <c r="D43" s="71"/>
      <c r="E43" s="71"/>
      <c r="F43" s="72"/>
      <c r="G43" s="73"/>
      <c r="H43" s="74"/>
      <c r="I43" s="33"/>
      <c r="J43" s="72"/>
      <c r="K43" s="33"/>
      <c r="L43" s="71"/>
      <c r="M43" s="73"/>
      <c r="N43" s="71"/>
      <c r="O43" s="73"/>
      <c r="P43" s="71"/>
      <c r="Q43" s="53"/>
      <c r="R43" s="6"/>
      <c r="T43" s="1"/>
      <c r="U43" s="1"/>
      <c r="V43" s="1"/>
    </row>
    <row r="44" spans="1:22" s="4" customFormat="1" ht="12.75" customHeight="1">
      <c r="A44" s="1"/>
      <c r="B44" s="5"/>
      <c r="C44" s="127"/>
      <c r="D44" s="6"/>
      <c r="E44" s="6"/>
      <c r="F44" s="10"/>
      <c r="G44" s="17"/>
      <c r="H44" s="13"/>
      <c r="I44" s="16"/>
      <c r="J44" s="10"/>
      <c r="K44" s="16"/>
      <c r="L44" s="6"/>
      <c r="M44" s="17"/>
      <c r="N44" s="6"/>
      <c r="O44" s="17"/>
      <c r="P44" s="6"/>
      <c r="Q44" s="53"/>
      <c r="R44" s="6"/>
      <c r="T44" s="1"/>
      <c r="U44" s="1"/>
      <c r="V44" s="1"/>
    </row>
    <row r="45" spans="1:22" s="4" customFormat="1" ht="12.75" customHeight="1">
      <c r="A45" s="1"/>
      <c r="B45" s="5"/>
      <c r="C45" s="11" t="s">
        <v>21</v>
      </c>
      <c r="D45" s="35">
        <f>H50</f>
        <v>72600</v>
      </c>
      <c r="E45" s="78"/>
      <c r="F45" s="185" t="s">
        <v>244</v>
      </c>
      <c r="G45" s="27"/>
      <c r="H45" s="35"/>
      <c r="I45" s="16"/>
      <c r="J45" s="10"/>
      <c r="K45" s="16"/>
      <c r="L45" s="6"/>
      <c r="M45" s="17"/>
      <c r="N45" s="6"/>
      <c r="O45" s="17"/>
      <c r="P45" s="6"/>
      <c r="Q45" s="53"/>
      <c r="R45" s="6"/>
      <c r="T45" s="1"/>
      <c r="U45" s="1"/>
      <c r="V45" s="1"/>
    </row>
    <row r="46" spans="1:22" s="4" customFormat="1" ht="12.75" customHeight="1">
      <c r="A46" s="1"/>
      <c r="B46" s="5"/>
      <c r="C46" s="93" t="s">
        <v>22</v>
      </c>
      <c r="D46" s="35">
        <f>L50</f>
        <v>24200</v>
      </c>
      <c r="E46" s="78"/>
      <c r="F46" s="185" t="s">
        <v>60</v>
      </c>
      <c r="G46" s="27"/>
      <c r="H46" s="35"/>
      <c r="I46" s="16"/>
      <c r="J46" s="10"/>
      <c r="K46" s="16"/>
      <c r="L46" s="6"/>
      <c r="M46" s="17"/>
      <c r="N46" s="6"/>
      <c r="O46" s="17"/>
      <c r="P46" s="6"/>
      <c r="Q46" s="53"/>
      <c r="R46" s="6"/>
      <c r="T46" s="1"/>
      <c r="U46" s="1"/>
      <c r="V46" s="1"/>
    </row>
    <row r="47" spans="1:22" s="4" customFormat="1" ht="12.75" customHeight="1">
      <c r="A47" s="1"/>
      <c r="B47" s="5"/>
      <c r="D47" s="13"/>
      <c r="E47" s="6"/>
      <c r="F47" s="43"/>
      <c r="G47" s="17"/>
      <c r="H47" s="13"/>
      <c r="I47" s="16"/>
      <c r="J47" s="10"/>
      <c r="K47" s="16"/>
      <c r="L47" s="6"/>
      <c r="M47" s="17"/>
      <c r="N47" s="6"/>
      <c r="O47" s="17"/>
      <c r="P47" s="6"/>
      <c r="Q47" s="53"/>
      <c r="R47" s="6"/>
      <c r="T47" s="1"/>
      <c r="U47" s="1"/>
      <c r="V47" s="1"/>
    </row>
    <row r="48" spans="1:22" s="4" customFormat="1" ht="12.75" customHeight="1">
      <c r="A48" s="1"/>
      <c r="B48" s="5"/>
      <c r="C48" s="111"/>
      <c r="D48" s="114"/>
      <c r="E48" s="112"/>
      <c r="F48" s="128"/>
      <c r="G48" s="113"/>
      <c r="H48" s="114"/>
      <c r="I48" s="115"/>
      <c r="J48" s="116"/>
      <c r="K48" s="115"/>
      <c r="L48" s="112"/>
      <c r="M48" s="113"/>
      <c r="N48" s="112"/>
      <c r="O48" s="113"/>
      <c r="P48" s="117"/>
      <c r="Q48" s="53"/>
      <c r="R48" s="6"/>
      <c r="T48" s="1"/>
      <c r="U48" s="1"/>
      <c r="V48" s="1"/>
    </row>
    <row r="49" spans="1:22" s="4" customFormat="1" ht="38.25">
      <c r="A49" s="1"/>
      <c r="B49" s="5"/>
      <c r="C49" s="129"/>
      <c r="D49" s="60" t="s">
        <v>88</v>
      </c>
      <c r="E49" s="4" t="s">
        <v>18</v>
      </c>
      <c r="F49" s="187" t="s">
        <v>108</v>
      </c>
      <c r="G49" s="6" t="s">
        <v>29</v>
      </c>
      <c r="H49" s="60" t="s">
        <v>21</v>
      </c>
      <c r="I49" s="132" t="s">
        <v>94</v>
      </c>
      <c r="J49" s="188" t="s">
        <v>87</v>
      </c>
      <c r="K49" s="16" t="s">
        <v>29</v>
      </c>
      <c r="L49" s="59" t="s">
        <v>245</v>
      </c>
      <c r="M49" s="17"/>
      <c r="N49" s="6"/>
      <c r="O49" s="17"/>
      <c r="P49" s="118"/>
      <c r="Q49" s="53"/>
      <c r="R49" s="6"/>
      <c r="T49" s="1"/>
      <c r="U49" s="1"/>
      <c r="V49" s="1"/>
    </row>
    <row r="50" spans="1:22" s="4" customFormat="1" ht="12.75" customHeight="1">
      <c r="A50" s="1"/>
      <c r="B50" s="5"/>
      <c r="C50" s="96" t="s">
        <v>20</v>
      </c>
      <c r="D50" s="8">
        <f>D25</f>
        <v>363000</v>
      </c>
      <c r="F50" s="314">
        <v>0.2</v>
      </c>
      <c r="G50" s="6"/>
      <c r="H50" s="8">
        <f>D50*F50</f>
        <v>72600</v>
      </c>
      <c r="I50" s="16"/>
      <c r="J50" s="333">
        <v>3</v>
      </c>
      <c r="K50" s="16"/>
      <c r="L50" s="130">
        <f>H50/J50</f>
        <v>24200</v>
      </c>
      <c r="M50" s="17"/>
      <c r="N50" s="6"/>
      <c r="O50" s="17"/>
      <c r="P50" s="118"/>
      <c r="Q50" s="53"/>
      <c r="R50" s="6"/>
      <c r="T50" s="1"/>
      <c r="U50" s="1"/>
      <c r="V50" s="1"/>
    </row>
    <row r="51" spans="1:22" s="4" customFormat="1" ht="12.75" customHeight="1">
      <c r="A51" s="1"/>
      <c r="B51" s="5"/>
      <c r="C51" s="119"/>
      <c r="D51" s="44"/>
      <c r="E51" s="44"/>
      <c r="F51" s="120"/>
      <c r="G51" s="100"/>
      <c r="H51" s="34"/>
      <c r="I51" s="99"/>
      <c r="J51" s="120"/>
      <c r="K51" s="99"/>
      <c r="L51" s="44"/>
      <c r="M51" s="100"/>
      <c r="N51" s="44"/>
      <c r="O51" s="100"/>
      <c r="P51" s="121"/>
      <c r="Q51" s="53"/>
      <c r="R51" s="6"/>
      <c r="T51" s="1"/>
      <c r="U51" s="1"/>
      <c r="V51" s="1"/>
    </row>
    <row r="52" spans="1:22" s="4" customFormat="1" ht="12.75" customHeight="1">
      <c r="A52" s="1"/>
      <c r="B52" s="5"/>
      <c r="D52" s="6"/>
      <c r="E52" s="6"/>
      <c r="F52" s="10"/>
      <c r="G52" s="17"/>
      <c r="H52" s="13"/>
      <c r="I52" s="16"/>
      <c r="J52" s="10"/>
      <c r="K52" s="16"/>
      <c r="L52" s="6"/>
      <c r="M52" s="17"/>
      <c r="N52" s="6"/>
      <c r="O52" s="17"/>
      <c r="P52" s="6"/>
      <c r="Q52" s="53"/>
      <c r="R52" s="6"/>
      <c r="T52" s="1"/>
      <c r="U52" s="1"/>
      <c r="V52" s="1"/>
    </row>
    <row r="53" spans="1:22" s="4" customFormat="1" ht="12.75" customHeight="1" thickBot="1">
      <c r="A53" s="1"/>
      <c r="B53" s="5"/>
      <c r="C53" s="123" t="s">
        <v>90</v>
      </c>
      <c r="D53" s="71"/>
      <c r="E53" s="71"/>
      <c r="F53" s="72"/>
      <c r="G53" s="73"/>
      <c r="H53" s="74"/>
      <c r="I53" s="33"/>
      <c r="J53" s="72"/>
      <c r="K53" s="33"/>
      <c r="L53" s="71"/>
      <c r="M53" s="73"/>
      <c r="N53" s="71"/>
      <c r="O53" s="73"/>
      <c r="P53" s="71"/>
      <c r="Q53" s="53"/>
      <c r="R53" s="6"/>
      <c r="T53" s="1"/>
      <c r="U53" s="1"/>
      <c r="V53" s="1"/>
    </row>
    <row r="54" spans="1:22" s="4" customFormat="1" ht="12.75" customHeight="1">
      <c r="A54" s="1"/>
      <c r="B54" s="5"/>
      <c r="C54" s="127"/>
      <c r="D54" s="6"/>
      <c r="E54" s="6"/>
      <c r="F54" s="10"/>
      <c r="G54" s="17"/>
      <c r="H54" s="13"/>
      <c r="I54" s="16"/>
      <c r="J54" s="10"/>
      <c r="K54" s="16"/>
      <c r="L54" s="6"/>
      <c r="M54" s="17"/>
      <c r="N54" s="6"/>
      <c r="O54" s="17"/>
      <c r="P54" s="6"/>
      <c r="Q54" s="53"/>
      <c r="R54" s="6"/>
      <c r="T54" s="1"/>
      <c r="U54" s="1"/>
      <c r="V54" s="1"/>
    </row>
    <row r="55" spans="1:22" s="4" customFormat="1" ht="12.75" customHeight="1">
      <c r="A55" s="1"/>
      <c r="B55" s="5"/>
      <c r="C55" s="11" t="s">
        <v>95</v>
      </c>
      <c r="D55" s="35">
        <f>(D25+D45)*J59</f>
        <v>43560</v>
      </c>
      <c r="E55" s="6"/>
      <c r="F55" s="185" t="s">
        <v>33</v>
      </c>
      <c r="G55" s="17"/>
      <c r="H55" s="13"/>
      <c r="I55" s="16"/>
      <c r="J55" s="10"/>
      <c r="K55" s="16"/>
      <c r="L55" s="6"/>
      <c r="M55" s="17"/>
      <c r="N55" s="6"/>
      <c r="O55" s="17"/>
      <c r="P55" s="6"/>
      <c r="Q55" s="53"/>
      <c r="R55" s="6"/>
      <c r="T55" s="1"/>
      <c r="U55" s="1"/>
      <c r="V55" s="1"/>
    </row>
    <row r="56" spans="1:22" s="4" customFormat="1" ht="12.75" customHeight="1">
      <c r="A56" s="1"/>
      <c r="B56" s="5"/>
      <c r="D56" s="6"/>
      <c r="E56" s="6"/>
      <c r="F56" s="10"/>
      <c r="G56" s="17"/>
      <c r="H56" s="13"/>
      <c r="I56" s="16"/>
      <c r="J56" s="10"/>
      <c r="K56" s="16"/>
      <c r="L56" s="6"/>
      <c r="M56" s="17"/>
      <c r="N56" s="6"/>
      <c r="O56" s="17"/>
      <c r="P56" s="6"/>
      <c r="Q56" s="53"/>
      <c r="R56" s="6"/>
      <c r="T56" s="1"/>
      <c r="U56" s="1"/>
      <c r="V56" s="1"/>
    </row>
    <row r="57" spans="1:22" s="4" customFormat="1" ht="12.75" customHeight="1">
      <c r="A57" s="1"/>
      <c r="B57" s="5"/>
      <c r="C57" s="111"/>
      <c r="D57" s="112"/>
      <c r="E57" s="112"/>
      <c r="F57" s="116"/>
      <c r="G57" s="113"/>
      <c r="H57" s="114"/>
      <c r="I57" s="115"/>
      <c r="J57" s="116"/>
      <c r="K57" s="115"/>
      <c r="L57" s="112"/>
      <c r="M57" s="113"/>
      <c r="N57" s="112"/>
      <c r="O57" s="113"/>
      <c r="P57" s="117"/>
      <c r="Q57" s="53"/>
      <c r="R57" s="6"/>
      <c r="T57" s="1"/>
      <c r="U57" s="1"/>
      <c r="V57" s="1"/>
    </row>
    <row r="58" spans="1:22" s="4" customFormat="1" ht="38.25">
      <c r="A58" s="1"/>
      <c r="B58" s="5"/>
      <c r="C58" s="129"/>
      <c r="D58" s="60" t="s">
        <v>88</v>
      </c>
      <c r="E58" s="131" t="s">
        <v>13</v>
      </c>
      <c r="F58" s="60" t="s">
        <v>89</v>
      </c>
      <c r="G58" s="17" t="s">
        <v>29</v>
      </c>
      <c r="H58" s="60" t="s">
        <v>92</v>
      </c>
      <c r="I58" s="16" t="s">
        <v>18</v>
      </c>
      <c r="J58" s="189" t="s">
        <v>236</v>
      </c>
      <c r="K58" s="47" t="s">
        <v>29</v>
      </c>
      <c r="L58" s="60" t="s">
        <v>95</v>
      </c>
      <c r="M58" s="17"/>
      <c r="N58" s="6"/>
      <c r="O58" s="17"/>
      <c r="P58" s="118"/>
      <c r="Q58" s="53"/>
      <c r="R58" s="6"/>
      <c r="T58" s="1"/>
      <c r="U58" s="1"/>
      <c r="V58" s="1"/>
    </row>
    <row r="59" spans="1:22" s="4" customFormat="1" ht="12.75" customHeight="1">
      <c r="A59" s="1"/>
      <c r="B59" s="5"/>
      <c r="C59" s="129" t="s">
        <v>91</v>
      </c>
      <c r="D59" s="6">
        <f>D25</f>
        <v>363000</v>
      </c>
      <c r="F59" s="13">
        <f>D45</f>
        <v>72600</v>
      </c>
      <c r="H59" s="13">
        <f>D59+F59</f>
        <v>435600</v>
      </c>
      <c r="J59" s="314">
        <v>0.1</v>
      </c>
      <c r="K59" s="16"/>
      <c r="L59" s="124">
        <f>H59*J59</f>
        <v>43560</v>
      </c>
      <c r="M59" s="17"/>
      <c r="N59" s="6"/>
      <c r="O59" s="17"/>
      <c r="P59" s="118"/>
      <c r="Q59" s="53"/>
      <c r="R59" s="6"/>
      <c r="T59" s="1"/>
      <c r="U59" s="1"/>
      <c r="V59" s="1"/>
    </row>
    <row r="60" spans="1:22" s="4" customFormat="1" ht="12.75" customHeight="1">
      <c r="A60" s="1"/>
      <c r="B60" s="5"/>
      <c r="C60" s="119"/>
      <c r="D60" s="44"/>
      <c r="E60" s="44"/>
      <c r="F60" s="120"/>
      <c r="G60" s="100"/>
      <c r="H60" s="34"/>
      <c r="I60" s="99"/>
      <c r="J60" s="120"/>
      <c r="K60" s="99"/>
      <c r="L60" s="44"/>
      <c r="M60" s="100"/>
      <c r="N60" s="44"/>
      <c r="O60" s="100"/>
      <c r="P60" s="121"/>
      <c r="Q60" s="53"/>
      <c r="R60" s="6"/>
      <c r="T60" s="1"/>
      <c r="U60" s="1"/>
      <c r="V60" s="1"/>
    </row>
    <row r="61" spans="1:22" s="4" customFormat="1" ht="12.75" customHeight="1">
      <c r="A61" s="1"/>
      <c r="B61" s="5"/>
      <c r="D61" s="6"/>
      <c r="E61" s="6"/>
      <c r="F61" s="10"/>
      <c r="G61" s="17"/>
      <c r="H61" s="13"/>
      <c r="I61" s="16"/>
      <c r="J61" s="10"/>
      <c r="K61" s="16"/>
      <c r="L61" s="6"/>
      <c r="M61" s="17"/>
      <c r="N61" s="6"/>
      <c r="O61" s="17"/>
      <c r="P61" s="6"/>
      <c r="Q61" s="53"/>
      <c r="R61" s="6"/>
      <c r="T61" s="1"/>
      <c r="U61" s="1"/>
      <c r="V61" s="1"/>
    </row>
    <row r="62" spans="1:22" s="4" customFormat="1" ht="12.75" customHeight="1" thickBot="1">
      <c r="A62" s="1"/>
      <c r="B62" s="5"/>
      <c r="C62" s="123" t="s">
        <v>96</v>
      </c>
      <c r="D62" s="71"/>
      <c r="E62" s="71"/>
      <c r="F62" s="72"/>
      <c r="G62" s="73"/>
      <c r="H62" s="74"/>
      <c r="I62" s="33"/>
      <c r="J62" s="72"/>
      <c r="K62" s="33"/>
      <c r="L62" s="71"/>
      <c r="M62" s="73"/>
      <c r="N62" s="71"/>
      <c r="O62" s="73"/>
      <c r="P62" s="71"/>
      <c r="Q62" s="53"/>
      <c r="R62" s="6"/>
      <c r="T62" s="1"/>
      <c r="U62" s="1"/>
      <c r="V62" s="1"/>
    </row>
    <row r="63" spans="1:22" s="4" customFormat="1" ht="12.75" customHeight="1">
      <c r="A63" s="1"/>
      <c r="B63" s="5"/>
      <c r="D63" s="6"/>
      <c r="E63" s="6"/>
      <c r="F63" s="10"/>
      <c r="G63" s="17"/>
      <c r="H63" s="13"/>
      <c r="I63" s="16"/>
      <c r="J63" s="10"/>
      <c r="K63" s="16"/>
      <c r="L63" s="6"/>
      <c r="M63" s="17"/>
      <c r="N63" s="6"/>
      <c r="O63" s="17"/>
      <c r="P63" s="6"/>
      <c r="Q63" s="53"/>
      <c r="R63" s="6"/>
      <c r="T63" s="1"/>
      <c r="U63" s="1"/>
      <c r="V63" s="1"/>
    </row>
    <row r="64" spans="1:22" s="4" customFormat="1" ht="12.75" customHeight="1">
      <c r="A64" s="1"/>
      <c r="B64" s="5"/>
      <c r="C64" s="11" t="s">
        <v>21</v>
      </c>
      <c r="D64" s="35">
        <f>H73</f>
        <v>0</v>
      </c>
      <c r="E64" s="78"/>
      <c r="F64" s="4" t="s">
        <v>25</v>
      </c>
      <c r="G64" s="17"/>
      <c r="H64" s="13"/>
      <c r="I64" s="16"/>
      <c r="J64" s="10"/>
      <c r="K64" s="16"/>
      <c r="L64" s="6"/>
      <c r="M64" s="17"/>
      <c r="N64" s="6"/>
      <c r="O64" s="17"/>
      <c r="P64" s="6"/>
      <c r="Q64" s="53"/>
      <c r="R64" s="6"/>
      <c r="T64" s="1"/>
      <c r="U64" s="1"/>
      <c r="V64" s="1"/>
    </row>
    <row r="65" spans="1:22" s="4" customFormat="1" ht="12.75" customHeight="1">
      <c r="A65" s="1"/>
      <c r="B65" s="5"/>
      <c r="C65" s="93" t="s">
        <v>22</v>
      </c>
      <c r="D65" s="35">
        <f>L73</f>
        <v>0</v>
      </c>
      <c r="E65" s="78"/>
      <c r="F65" s="185" t="s">
        <v>58</v>
      </c>
      <c r="G65" s="17"/>
      <c r="H65" s="13"/>
      <c r="I65" s="16"/>
      <c r="J65" s="10"/>
      <c r="K65" s="16"/>
      <c r="L65" s="6"/>
      <c r="M65" s="17"/>
      <c r="N65" s="6"/>
      <c r="O65" s="17"/>
      <c r="P65" s="6"/>
      <c r="Q65" s="53"/>
      <c r="R65" s="6"/>
      <c r="T65" s="1"/>
      <c r="U65" s="1"/>
      <c r="V65" s="1"/>
    </row>
    <row r="66" spans="1:22" s="4" customFormat="1" ht="12.75" customHeight="1">
      <c r="A66" s="1"/>
      <c r="B66" s="5"/>
      <c r="D66" s="6"/>
      <c r="E66" s="6"/>
      <c r="F66" s="10"/>
      <c r="G66" s="17"/>
      <c r="H66" s="13"/>
      <c r="I66" s="16"/>
      <c r="J66" s="10"/>
      <c r="K66" s="16"/>
      <c r="L66" s="6"/>
      <c r="M66" s="17"/>
      <c r="N66" s="6"/>
      <c r="O66" s="17"/>
      <c r="P66" s="6"/>
      <c r="Q66" s="53"/>
      <c r="R66" s="6"/>
      <c r="T66" s="1"/>
      <c r="U66" s="1"/>
      <c r="V66" s="1"/>
    </row>
    <row r="67" spans="1:22" s="4" customFormat="1" ht="12.75" customHeight="1">
      <c r="A67" s="1"/>
      <c r="B67" s="5"/>
      <c r="C67" s="111"/>
      <c r="D67" s="112"/>
      <c r="E67" s="112"/>
      <c r="F67" s="116"/>
      <c r="G67" s="113"/>
      <c r="H67" s="114"/>
      <c r="I67" s="115"/>
      <c r="J67" s="116"/>
      <c r="K67" s="115"/>
      <c r="L67" s="112"/>
      <c r="M67" s="113"/>
      <c r="N67" s="112"/>
      <c r="O67" s="113"/>
      <c r="P67" s="117"/>
      <c r="Q67" s="53"/>
      <c r="R67" s="6"/>
      <c r="T67" s="1"/>
      <c r="U67" s="1"/>
      <c r="V67" s="1"/>
    </row>
    <row r="68" spans="1:22" s="4" customFormat="1" ht="25.5">
      <c r="A68" s="1"/>
      <c r="B68" s="5"/>
      <c r="C68" s="129"/>
      <c r="D68" s="6"/>
      <c r="E68" s="6"/>
      <c r="F68" s="187" t="s">
        <v>175</v>
      </c>
      <c r="G68" s="7"/>
      <c r="I68" s="16"/>
      <c r="J68" s="10"/>
      <c r="K68" s="16"/>
      <c r="L68" s="6"/>
      <c r="M68" s="17"/>
      <c r="N68" s="6"/>
      <c r="O68" s="17"/>
      <c r="P68" s="118"/>
      <c r="Q68" s="53"/>
      <c r="R68" s="6"/>
      <c r="T68" s="1"/>
      <c r="U68" s="1"/>
      <c r="V68" s="1"/>
    </row>
    <row r="69" spans="1:22" s="4" customFormat="1" ht="12.75" customHeight="1">
      <c r="A69" s="1"/>
      <c r="B69" s="5"/>
      <c r="C69" s="129"/>
      <c r="D69" s="41" t="s">
        <v>6</v>
      </c>
      <c r="E69" s="6"/>
      <c r="F69" s="332">
        <v>0</v>
      </c>
      <c r="G69" s="17"/>
      <c r="H69" s="4" t="str">
        <f>IF(Main!C99="Linux/Unix","&lt;--User selected 'Linux/Unix' on the 'Overview' tab.  This value ($"&amp;FIXED(F69,0,0)&amp;") will be used.","")</f>
        <v>&lt;--User selected 'Linux/Unix' on the 'Overview' tab.  This value ($0) will be used.</v>
      </c>
      <c r="I69" s="16"/>
      <c r="J69" s="10"/>
      <c r="K69" s="16"/>
      <c r="L69" s="6"/>
      <c r="M69" s="17"/>
      <c r="N69" s="6"/>
      <c r="O69" s="17"/>
      <c r="P69" s="118"/>
      <c r="Q69" s="53"/>
      <c r="R69" s="6"/>
      <c r="T69" s="1"/>
      <c r="U69" s="1"/>
      <c r="V69" s="1"/>
    </row>
    <row r="70" spans="1:22" s="4" customFormat="1" ht="12.75" customHeight="1">
      <c r="A70" s="1"/>
      <c r="B70" s="5"/>
      <c r="C70" s="129"/>
      <c r="D70" s="41" t="s">
        <v>7</v>
      </c>
      <c r="E70" s="6"/>
      <c r="F70" s="332">
        <v>2999</v>
      </c>
      <c r="H70" s="4">
        <f>IF(Main!C99="Windows","&lt;--User selected 'Windows' on the 'Overview' tab.  This value ($"&amp;FIXED(F70,0,0)&amp;") will be used.","")</f>
      </c>
      <c r="I70" s="16"/>
      <c r="J70" s="58"/>
      <c r="K70" s="58"/>
      <c r="L70" s="58"/>
      <c r="M70" s="17"/>
      <c r="N70" s="6"/>
      <c r="O70" s="17"/>
      <c r="P70" s="118"/>
      <c r="Q70" s="53"/>
      <c r="R70" s="6"/>
      <c r="T70" s="1"/>
      <c r="U70" s="1"/>
      <c r="V70" s="1"/>
    </row>
    <row r="71" spans="1:22" s="4" customFormat="1" ht="12.75" customHeight="1">
      <c r="A71" s="1"/>
      <c r="B71" s="5"/>
      <c r="C71" s="129"/>
      <c r="D71" s="6"/>
      <c r="E71" s="6"/>
      <c r="F71" s="10"/>
      <c r="G71" s="17"/>
      <c r="H71" s="13"/>
      <c r="I71" s="16"/>
      <c r="J71" s="10"/>
      <c r="K71" s="16"/>
      <c r="L71" s="6"/>
      <c r="M71" s="17"/>
      <c r="N71" s="6"/>
      <c r="O71" s="17"/>
      <c r="P71" s="118"/>
      <c r="Q71" s="53"/>
      <c r="R71" s="6"/>
      <c r="T71" s="1"/>
      <c r="U71" s="1"/>
      <c r="V71" s="1"/>
    </row>
    <row r="72" spans="1:20" s="4" customFormat="1" ht="38.25">
      <c r="A72" s="1"/>
      <c r="B72" s="5"/>
      <c r="C72" s="159"/>
      <c r="D72" s="60" t="s">
        <v>30</v>
      </c>
      <c r="E72" s="4" t="s">
        <v>18</v>
      </c>
      <c r="F72" s="346" t="s">
        <v>174</v>
      </c>
      <c r="G72" s="4" t="s">
        <v>29</v>
      </c>
      <c r="H72" s="101" t="s">
        <v>98</v>
      </c>
      <c r="I72" s="132" t="s">
        <v>94</v>
      </c>
      <c r="J72" s="60" t="s">
        <v>260</v>
      </c>
      <c r="K72" s="17" t="s">
        <v>29</v>
      </c>
      <c r="L72" s="59" t="s">
        <v>24</v>
      </c>
      <c r="P72" s="107"/>
      <c r="Q72" s="53"/>
      <c r="R72" s="6"/>
      <c r="T72" s="1"/>
    </row>
    <row r="73" spans="1:22" s="4" customFormat="1" ht="12.75" customHeight="1">
      <c r="A73" s="1"/>
      <c r="B73" s="5"/>
      <c r="C73" s="133" t="s">
        <v>16</v>
      </c>
      <c r="D73" s="58">
        <f>H38</f>
        <v>1000</v>
      </c>
      <c r="E73" s="16"/>
      <c r="F73" s="8">
        <f>IF(Main!C99="Linux/Unix",'2) Co-Location'!F69,'2) Co-Location'!F70)</f>
        <v>0</v>
      </c>
      <c r="H73" s="130">
        <f>D73*F73</f>
        <v>0</v>
      </c>
      <c r="I73" s="17"/>
      <c r="J73" s="223">
        <f>N30</f>
        <v>3</v>
      </c>
      <c r="K73" s="17"/>
      <c r="L73" s="130">
        <f>H73/J73</f>
        <v>0</v>
      </c>
      <c r="P73" s="107"/>
      <c r="Q73" s="53"/>
      <c r="R73" s="6"/>
      <c r="T73" s="1"/>
      <c r="U73" s="1"/>
      <c r="V73" s="1"/>
    </row>
    <row r="74" spans="1:22" s="4" customFormat="1" ht="12.75" customHeight="1">
      <c r="A74" s="1"/>
      <c r="B74" s="5"/>
      <c r="C74" s="133"/>
      <c r="D74" s="58"/>
      <c r="E74" s="16"/>
      <c r="F74" s="58"/>
      <c r="G74" s="58"/>
      <c r="H74" s="58"/>
      <c r="L74" s="130"/>
      <c r="M74" s="17"/>
      <c r="N74" s="6"/>
      <c r="O74" s="17"/>
      <c r="P74" s="234"/>
      <c r="Q74" s="53"/>
      <c r="R74" s="6"/>
      <c r="T74" s="1"/>
      <c r="U74" s="1"/>
      <c r="V74" s="1"/>
    </row>
    <row r="75" spans="1:22" s="4" customFormat="1" ht="12.75" customHeight="1">
      <c r="A75" s="1"/>
      <c r="B75" s="5"/>
      <c r="C75" s="133"/>
      <c r="D75" s="58"/>
      <c r="E75" s="16"/>
      <c r="J75" s="50" t="s">
        <v>262</v>
      </c>
      <c r="L75" s="130"/>
      <c r="M75" s="17"/>
      <c r="O75" s="17"/>
      <c r="P75" s="234"/>
      <c r="Q75" s="53"/>
      <c r="R75" s="6"/>
      <c r="T75" s="1"/>
      <c r="U75" s="1"/>
      <c r="V75" s="1"/>
    </row>
    <row r="76" spans="1:22" s="4" customFormat="1" ht="12.75">
      <c r="A76" s="1"/>
      <c r="B76" s="5"/>
      <c r="C76" s="134"/>
      <c r="D76" s="101"/>
      <c r="E76" s="44"/>
      <c r="F76" s="120"/>
      <c r="G76" s="100"/>
      <c r="H76" s="34"/>
      <c r="I76" s="99"/>
      <c r="J76" s="120"/>
      <c r="K76" s="99"/>
      <c r="L76" s="34"/>
      <c r="M76" s="100"/>
      <c r="N76" s="101"/>
      <c r="O76" s="100"/>
      <c r="P76" s="121"/>
      <c r="Q76" s="53"/>
      <c r="R76" s="6"/>
      <c r="T76" s="1"/>
      <c r="U76" s="1"/>
      <c r="V76" s="1"/>
    </row>
    <row r="77" spans="1:22" s="4" customFormat="1" ht="12.75">
      <c r="A77" s="1"/>
      <c r="B77" s="5"/>
      <c r="C77" s="41"/>
      <c r="E77" s="6"/>
      <c r="F77" s="10"/>
      <c r="G77" s="17"/>
      <c r="H77" s="13"/>
      <c r="I77" s="16"/>
      <c r="J77" s="10"/>
      <c r="K77" s="16"/>
      <c r="L77" s="13"/>
      <c r="M77" s="17"/>
      <c r="O77" s="17"/>
      <c r="P77" s="6"/>
      <c r="Q77" s="53"/>
      <c r="R77" s="6"/>
      <c r="T77" s="1"/>
      <c r="U77" s="1"/>
      <c r="V77" s="1"/>
    </row>
    <row r="78" spans="1:22" s="4" customFormat="1" ht="15.75" thickBot="1">
      <c r="A78" s="1"/>
      <c r="B78" s="5"/>
      <c r="C78" s="123" t="s">
        <v>99</v>
      </c>
      <c r="D78" s="71"/>
      <c r="E78" s="71"/>
      <c r="F78" s="72"/>
      <c r="G78" s="73"/>
      <c r="H78" s="74"/>
      <c r="I78" s="33"/>
      <c r="J78" s="72"/>
      <c r="K78" s="33"/>
      <c r="L78" s="71"/>
      <c r="M78" s="73"/>
      <c r="N78" s="71"/>
      <c r="O78" s="73"/>
      <c r="P78" s="71"/>
      <c r="Q78" s="53"/>
      <c r="R78" s="6"/>
      <c r="T78" s="1"/>
      <c r="U78" s="1"/>
      <c r="V78" s="1"/>
    </row>
    <row r="79" spans="1:22" s="4" customFormat="1" ht="12.75">
      <c r="A79" s="1"/>
      <c r="B79" s="5"/>
      <c r="C79" s="41"/>
      <c r="E79" s="6"/>
      <c r="F79" s="10"/>
      <c r="G79" s="17"/>
      <c r="H79" s="13"/>
      <c r="I79" s="16"/>
      <c r="J79" s="10"/>
      <c r="K79" s="16"/>
      <c r="L79" s="13"/>
      <c r="M79" s="17"/>
      <c r="O79" s="17"/>
      <c r="P79" s="6"/>
      <c r="Q79" s="53"/>
      <c r="R79" s="6"/>
      <c r="T79" s="1"/>
      <c r="U79" s="1"/>
      <c r="V79" s="1"/>
    </row>
    <row r="80" spans="1:22" s="4" customFormat="1" ht="15">
      <c r="A80" s="1"/>
      <c r="B80" s="5"/>
      <c r="C80" s="183" t="s">
        <v>105</v>
      </c>
      <c r="E80" s="6"/>
      <c r="F80" s="10"/>
      <c r="G80" s="17"/>
      <c r="H80" s="13"/>
      <c r="I80" s="16"/>
      <c r="J80" s="10"/>
      <c r="K80" s="16"/>
      <c r="L80" s="13"/>
      <c r="M80" s="17"/>
      <c r="O80" s="17"/>
      <c r="P80" s="6"/>
      <c r="Q80" s="53"/>
      <c r="R80" s="6"/>
      <c r="T80" s="1"/>
      <c r="U80" s="1"/>
      <c r="V80" s="1"/>
    </row>
    <row r="81" spans="1:22" s="4" customFormat="1" ht="12.75">
      <c r="A81" s="1"/>
      <c r="B81" s="5"/>
      <c r="C81" s="49"/>
      <c r="E81" s="6"/>
      <c r="F81" s="10"/>
      <c r="G81" s="17"/>
      <c r="H81" s="13"/>
      <c r="I81" s="16"/>
      <c r="J81" s="10"/>
      <c r="K81" s="16"/>
      <c r="L81" s="13"/>
      <c r="M81" s="17"/>
      <c r="O81" s="17"/>
      <c r="P81" s="6"/>
      <c r="Q81" s="53"/>
      <c r="R81" s="6"/>
      <c r="T81" s="1"/>
      <c r="U81" s="1"/>
      <c r="V81" s="1"/>
    </row>
    <row r="82" spans="1:22" s="4" customFormat="1" ht="12.75" customHeight="1">
      <c r="A82" s="1"/>
      <c r="B82" s="5"/>
      <c r="C82" s="4" t="s">
        <v>62</v>
      </c>
      <c r="D82" s="6">
        <f>N91</f>
        <v>2632</v>
      </c>
      <c r="E82" s="6"/>
      <c r="F82" s="185" t="s">
        <v>237</v>
      </c>
      <c r="G82" s="17"/>
      <c r="H82" s="13"/>
      <c r="I82" s="16"/>
      <c r="J82" s="10"/>
      <c r="K82" s="16"/>
      <c r="L82" s="6"/>
      <c r="M82" s="17"/>
      <c r="N82" s="6"/>
      <c r="O82" s="17"/>
      <c r="P82" s="6"/>
      <c r="Q82" s="53"/>
      <c r="R82" s="6"/>
      <c r="T82" s="1"/>
      <c r="U82" s="1"/>
      <c r="V82" s="1"/>
    </row>
    <row r="83" spans="1:22" s="4" customFormat="1" ht="12.75" customHeight="1">
      <c r="A83" s="1"/>
      <c r="B83" s="5"/>
      <c r="C83" s="4" t="s">
        <v>61</v>
      </c>
      <c r="D83" s="6">
        <f>H111</f>
        <v>1000</v>
      </c>
      <c r="E83" s="6"/>
      <c r="F83" s="185" t="s">
        <v>238</v>
      </c>
      <c r="G83" s="17"/>
      <c r="H83" s="13"/>
      <c r="I83" s="16"/>
      <c r="J83" s="10"/>
      <c r="K83" s="16"/>
      <c r="L83" s="6"/>
      <c r="M83" s="17"/>
      <c r="N83" s="6"/>
      <c r="O83" s="17"/>
      <c r="P83" s="6"/>
      <c r="Q83" s="53"/>
      <c r="R83" s="6"/>
      <c r="T83" s="1"/>
      <c r="U83" s="1"/>
      <c r="V83" s="1"/>
    </row>
    <row r="84" spans="1:22" s="4" customFormat="1" ht="12.75" customHeight="1">
      <c r="A84" s="1"/>
      <c r="B84" s="5"/>
      <c r="D84" s="6"/>
      <c r="E84" s="6"/>
      <c r="F84" s="10"/>
      <c r="G84" s="17"/>
      <c r="H84" s="13"/>
      <c r="I84" s="16"/>
      <c r="J84" s="10"/>
      <c r="K84" s="16"/>
      <c r="L84" s="6"/>
      <c r="M84" s="17"/>
      <c r="N84" s="6"/>
      <c r="O84" s="17"/>
      <c r="P84" s="6"/>
      <c r="Q84" s="53"/>
      <c r="R84" s="6"/>
      <c r="T84" s="1"/>
      <c r="U84" s="1"/>
      <c r="V84" s="1"/>
    </row>
    <row r="85" spans="1:22" s="4" customFormat="1" ht="12.75" customHeight="1">
      <c r="A85" s="1"/>
      <c r="B85" s="5"/>
      <c r="C85" s="4" t="s">
        <v>63</v>
      </c>
      <c r="D85" s="6">
        <f>MAX(D82:D83)</f>
        <v>2632</v>
      </c>
      <c r="E85" s="6"/>
      <c r="F85" s="43" t="s">
        <v>64</v>
      </c>
      <c r="G85" s="17"/>
      <c r="H85" s="13"/>
      <c r="I85" s="16"/>
      <c r="J85" s="10"/>
      <c r="K85" s="16"/>
      <c r="L85" s="6"/>
      <c r="M85" s="17"/>
      <c r="N85" s="6"/>
      <c r="O85" s="17"/>
      <c r="P85" s="6"/>
      <c r="Q85" s="53"/>
      <c r="R85" s="6"/>
      <c r="T85" s="1"/>
      <c r="U85" s="1"/>
      <c r="V85" s="1"/>
    </row>
    <row r="86" spans="1:22" s="4" customFormat="1" ht="12.75" customHeight="1">
      <c r="A86" s="1"/>
      <c r="B86" s="5"/>
      <c r="C86" s="105"/>
      <c r="E86" s="6"/>
      <c r="F86" s="28"/>
      <c r="G86" s="17"/>
      <c r="H86" s="13"/>
      <c r="I86" s="16"/>
      <c r="J86" s="10"/>
      <c r="K86" s="16"/>
      <c r="L86" s="13"/>
      <c r="M86" s="17"/>
      <c r="O86" s="17"/>
      <c r="P86" s="6"/>
      <c r="Q86" s="53"/>
      <c r="R86" s="50"/>
      <c r="T86" s="1"/>
      <c r="U86" s="1"/>
      <c r="V86" s="1"/>
    </row>
    <row r="87" spans="1:22" s="4" customFormat="1" ht="12.75" customHeight="1">
      <c r="A87" s="1"/>
      <c r="B87" s="5"/>
      <c r="C87" s="136"/>
      <c r="D87" s="95"/>
      <c r="E87" s="112"/>
      <c r="F87" s="137"/>
      <c r="G87" s="113"/>
      <c r="H87" s="114"/>
      <c r="I87" s="115"/>
      <c r="J87" s="116"/>
      <c r="K87" s="115"/>
      <c r="L87" s="114"/>
      <c r="M87" s="113"/>
      <c r="N87" s="95"/>
      <c r="O87" s="113"/>
      <c r="P87" s="117"/>
      <c r="Q87" s="53"/>
      <c r="R87" s="50"/>
      <c r="T87" s="1"/>
      <c r="U87" s="1"/>
      <c r="V87" s="1"/>
    </row>
    <row r="88" spans="1:22" s="4" customFormat="1" ht="12.75" customHeight="1">
      <c r="A88" s="1"/>
      <c r="B88" s="5"/>
      <c r="C88" s="138" t="s">
        <v>219</v>
      </c>
      <c r="E88" s="6"/>
      <c r="F88" s="28"/>
      <c r="G88" s="17"/>
      <c r="H88" s="13"/>
      <c r="I88" s="16"/>
      <c r="J88" s="10"/>
      <c r="K88" s="16"/>
      <c r="L88" s="13"/>
      <c r="M88" s="17"/>
      <c r="O88" s="17"/>
      <c r="P88" s="118"/>
      <c r="Q88" s="53"/>
      <c r="R88" s="50"/>
      <c r="T88" s="1"/>
      <c r="U88" s="1"/>
      <c r="V88" s="1"/>
    </row>
    <row r="89" spans="1:22" s="4" customFormat="1" ht="12.75" customHeight="1">
      <c r="A89" s="1"/>
      <c r="B89" s="5"/>
      <c r="C89" s="138"/>
      <c r="E89" s="6"/>
      <c r="F89" s="28"/>
      <c r="G89" s="17"/>
      <c r="H89" s="13"/>
      <c r="I89" s="16"/>
      <c r="J89" s="10"/>
      <c r="K89" s="16"/>
      <c r="L89" s="13"/>
      <c r="M89" s="17"/>
      <c r="O89" s="17"/>
      <c r="P89" s="118"/>
      <c r="Q89" s="53"/>
      <c r="R89" s="50"/>
      <c r="T89" s="1"/>
      <c r="U89" s="1"/>
      <c r="V89" s="1"/>
    </row>
    <row r="90" spans="1:22" s="4" customFormat="1" ht="51">
      <c r="A90" s="1"/>
      <c r="B90" s="5"/>
      <c r="C90" s="138"/>
      <c r="D90" s="60" t="s">
        <v>30</v>
      </c>
      <c r="E90" s="6" t="s">
        <v>18</v>
      </c>
      <c r="F90" s="204" t="s">
        <v>214</v>
      </c>
      <c r="G90" s="4" t="s">
        <v>29</v>
      </c>
      <c r="H90" s="60" t="s">
        <v>215</v>
      </c>
      <c r="I90" s="16"/>
      <c r="J90" s="132" t="s">
        <v>94</v>
      </c>
      <c r="L90" s="188" t="s">
        <v>177</v>
      </c>
      <c r="M90" s="16" t="s">
        <v>29</v>
      </c>
      <c r="N90" s="60" t="s">
        <v>221</v>
      </c>
      <c r="P90" s="107"/>
      <c r="Q90" s="53"/>
      <c r="R90" s="50"/>
      <c r="T90" s="1"/>
      <c r="U90" s="1"/>
      <c r="V90" s="1"/>
    </row>
    <row r="91" spans="1:22" s="4" customFormat="1" ht="12.75" customHeight="1">
      <c r="A91" s="1"/>
      <c r="B91" s="5"/>
      <c r="C91" s="182" t="s">
        <v>336</v>
      </c>
      <c r="D91" s="58">
        <f aca="true" t="shared" si="3" ref="D91:D98">H30</f>
        <v>1000</v>
      </c>
      <c r="E91" s="6"/>
      <c r="F91" s="313">
        <v>150</v>
      </c>
      <c r="H91" s="58">
        <f aca="true" t="shared" si="4" ref="H91:H98">D91*F91</f>
        <v>150000</v>
      </c>
      <c r="I91" s="16"/>
      <c r="L91" s="313">
        <v>57</v>
      </c>
      <c r="M91" s="16"/>
      <c r="N91" s="141">
        <f>ROUNDUP(H99/L91,0)</f>
        <v>2632</v>
      </c>
      <c r="P91" s="107"/>
      <c r="Q91" s="53"/>
      <c r="R91" s="50"/>
      <c r="T91" s="1"/>
      <c r="U91" s="1"/>
      <c r="V91" s="1"/>
    </row>
    <row r="92" spans="1:22" s="4" customFormat="1" ht="12.75" customHeight="1">
      <c r="A92" s="1"/>
      <c r="B92" s="5"/>
      <c r="C92" s="182" t="s">
        <v>337</v>
      </c>
      <c r="D92" s="58">
        <f t="shared" si="3"/>
        <v>0</v>
      </c>
      <c r="E92" s="6"/>
      <c r="F92" s="313">
        <v>240</v>
      </c>
      <c r="H92" s="58">
        <f t="shared" si="4"/>
        <v>0</v>
      </c>
      <c r="I92" s="16"/>
      <c r="P92" s="107"/>
      <c r="Q92" s="53"/>
      <c r="R92" s="50"/>
      <c r="T92" s="1"/>
      <c r="U92" s="1"/>
      <c r="V92" s="1"/>
    </row>
    <row r="93" spans="1:22" s="4" customFormat="1" ht="12.75" customHeight="1">
      <c r="A93" s="1"/>
      <c r="B93" s="5"/>
      <c r="C93" s="182" t="s">
        <v>338</v>
      </c>
      <c r="D93" s="58">
        <f t="shared" si="3"/>
        <v>0</v>
      </c>
      <c r="E93" s="6"/>
      <c r="F93" s="313">
        <v>391</v>
      </c>
      <c r="H93" s="58">
        <f t="shared" si="4"/>
        <v>0</v>
      </c>
      <c r="I93" s="16"/>
      <c r="M93" s="17"/>
      <c r="O93" s="17"/>
      <c r="P93" s="107"/>
      <c r="Q93" s="53"/>
      <c r="R93" s="50"/>
      <c r="T93" s="1"/>
      <c r="U93" s="1"/>
      <c r="V93" s="1"/>
    </row>
    <row r="94" spans="1:22" s="4" customFormat="1" ht="12.75" customHeight="1">
      <c r="A94" s="1"/>
      <c r="B94" s="5"/>
      <c r="C94" s="182" t="s">
        <v>377</v>
      </c>
      <c r="D94" s="58">
        <f t="shared" si="3"/>
        <v>0</v>
      </c>
      <c r="E94" s="6"/>
      <c r="F94" s="313">
        <v>405</v>
      </c>
      <c r="H94" s="58">
        <f t="shared" si="4"/>
        <v>0</v>
      </c>
      <c r="I94" s="16"/>
      <c r="M94" s="17"/>
      <c r="O94" s="17"/>
      <c r="P94" s="107"/>
      <c r="Q94" s="53"/>
      <c r="R94" s="50"/>
      <c r="T94" s="1"/>
      <c r="U94" s="1"/>
      <c r="V94" s="1"/>
    </row>
    <row r="95" spans="1:22" s="4" customFormat="1" ht="12.75" customHeight="1">
      <c r="A95" s="1"/>
      <c r="B95" s="5"/>
      <c r="C95" s="182" t="s">
        <v>334</v>
      </c>
      <c r="D95" s="58">
        <f t="shared" si="3"/>
        <v>0</v>
      </c>
      <c r="E95" s="6"/>
      <c r="F95" s="313">
        <v>515</v>
      </c>
      <c r="H95" s="58">
        <f t="shared" si="4"/>
        <v>0</v>
      </c>
      <c r="I95" s="16"/>
      <c r="M95" s="17"/>
      <c r="O95" s="17"/>
      <c r="P95" s="107"/>
      <c r="Q95" s="53"/>
      <c r="R95" s="50"/>
      <c r="T95" s="1"/>
      <c r="U95" s="1"/>
      <c r="V95" s="1"/>
    </row>
    <row r="96" spans="1:22" s="4" customFormat="1" ht="12.75" customHeight="1">
      <c r="A96" s="1"/>
      <c r="B96" s="5"/>
      <c r="C96" s="182" t="s">
        <v>335</v>
      </c>
      <c r="D96" s="58">
        <f t="shared" si="3"/>
        <v>0</v>
      </c>
      <c r="E96" s="6"/>
      <c r="F96" s="313">
        <v>630</v>
      </c>
      <c r="H96" s="58">
        <f t="shared" si="4"/>
        <v>0</v>
      </c>
      <c r="I96" s="16"/>
      <c r="M96" s="17"/>
      <c r="O96" s="17"/>
      <c r="P96" s="107"/>
      <c r="Q96" s="53"/>
      <c r="R96" s="50"/>
      <c r="T96" s="1"/>
      <c r="U96" s="1"/>
      <c r="V96" s="1"/>
    </row>
    <row r="97" spans="1:22" s="4" customFormat="1" ht="12.75" customHeight="1">
      <c r="A97" s="1"/>
      <c r="B97" s="5"/>
      <c r="C97" s="182" t="s">
        <v>339</v>
      </c>
      <c r="D97" s="58">
        <f t="shared" si="3"/>
        <v>0</v>
      </c>
      <c r="E97" s="6"/>
      <c r="F97" s="313">
        <v>289</v>
      </c>
      <c r="H97" s="58">
        <f t="shared" si="4"/>
        <v>0</v>
      </c>
      <c r="I97" s="16"/>
      <c r="J97" s="10"/>
      <c r="K97" s="16"/>
      <c r="M97" s="17"/>
      <c r="O97" s="17"/>
      <c r="P97" s="107"/>
      <c r="Q97" s="53"/>
      <c r="R97" s="50"/>
      <c r="T97" s="1"/>
      <c r="U97" s="1"/>
      <c r="V97" s="1"/>
    </row>
    <row r="98" spans="1:22" s="4" customFormat="1" ht="12.75" customHeight="1">
      <c r="A98" s="1"/>
      <c r="B98" s="5"/>
      <c r="C98" s="182" t="s">
        <v>340</v>
      </c>
      <c r="D98" s="135">
        <f t="shared" si="3"/>
        <v>0</v>
      </c>
      <c r="E98" s="6"/>
      <c r="F98" s="313">
        <v>309</v>
      </c>
      <c r="H98" s="135">
        <f t="shared" si="4"/>
        <v>0</v>
      </c>
      <c r="I98" s="16"/>
      <c r="M98" s="17"/>
      <c r="O98" s="17"/>
      <c r="P98" s="107"/>
      <c r="Q98" s="53"/>
      <c r="R98" s="50"/>
      <c r="T98" s="1"/>
      <c r="U98" s="1"/>
      <c r="V98" s="1"/>
    </row>
    <row r="99" spans="1:22" s="4" customFormat="1" ht="12.75" customHeight="1">
      <c r="A99" s="1"/>
      <c r="B99" s="5"/>
      <c r="C99" s="138"/>
      <c r="D99" s="58">
        <f>SUM(D91:D98)</f>
        <v>1000</v>
      </c>
      <c r="E99" s="6"/>
      <c r="F99" s="28"/>
      <c r="G99" s="17"/>
      <c r="H99" s="142">
        <f>SUM(H91:H98)</f>
        <v>150000</v>
      </c>
      <c r="I99" s="16"/>
      <c r="M99" s="17"/>
      <c r="O99" s="17"/>
      <c r="P99" s="118"/>
      <c r="Q99" s="53"/>
      <c r="R99" s="50"/>
      <c r="T99" s="1"/>
      <c r="U99" s="1"/>
      <c r="V99" s="1"/>
    </row>
    <row r="100" spans="1:22" s="4" customFormat="1" ht="12.75" customHeight="1">
      <c r="A100" s="1"/>
      <c r="B100" s="5"/>
      <c r="C100" s="138"/>
      <c r="E100" s="6"/>
      <c r="F100" s="28"/>
      <c r="G100" s="17"/>
      <c r="H100" s="13"/>
      <c r="I100" s="16"/>
      <c r="J100" s="10"/>
      <c r="K100" s="16"/>
      <c r="L100" s="13"/>
      <c r="M100" s="17"/>
      <c r="O100" s="17"/>
      <c r="P100" s="118"/>
      <c r="Q100" s="53"/>
      <c r="R100" s="50"/>
      <c r="T100" s="1"/>
      <c r="U100" s="1"/>
      <c r="V100" s="1"/>
    </row>
    <row r="101" spans="1:22" s="4" customFormat="1" ht="12.75" customHeight="1">
      <c r="A101" s="1"/>
      <c r="B101" s="5"/>
      <c r="C101" s="138"/>
      <c r="E101" s="6"/>
      <c r="F101" s="28"/>
      <c r="G101" s="17"/>
      <c r="H101" s="13"/>
      <c r="I101" s="16"/>
      <c r="J101" s="10"/>
      <c r="K101" s="16"/>
      <c r="L101" s="13"/>
      <c r="M101" s="17"/>
      <c r="O101" s="17"/>
      <c r="P101" s="118"/>
      <c r="Q101" s="53"/>
      <c r="R101" s="50"/>
      <c r="T101" s="1"/>
      <c r="U101" s="1"/>
      <c r="V101" s="1"/>
    </row>
    <row r="102" spans="1:22" s="4" customFormat="1" ht="38.25">
      <c r="A102" s="1"/>
      <c r="B102" s="5"/>
      <c r="C102" s="138"/>
      <c r="D102" s="60" t="s">
        <v>30</v>
      </c>
      <c r="E102" s="6" t="s">
        <v>18</v>
      </c>
      <c r="F102" s="190" t="s">
        <v>102</v>
      </c>
      <c r="G102" s="4" t="s">
        <v>29</v>
      </c>
      <c r="H102" s="60" t="s">
        <v>220</v>
      </c>
      <c r="I102" s="16"/>
      <c r="J102" s="10"/>
      <c r="K102" s="16"/>
      <c r="L102" s="378" t="s">
        <v>104</v>
      </c>
      <c r="M102" s="17"/>
      <c r="O102" s="17"/>
      <c r="P102" s="118"/>
      <c r="Q102" s="53"/>
      <c r="R102" s="50"/>
      <c r="T102" s="1"/>
      <c r="U102" s="1"/>
      <c r="V102" s="1"/>
    </row>
    <row r="103" spans="1:22" s="4" customFormat="1" ht="12.75" customHeight="1">
      <c r="A103" s="1"/>
      <c r="B103" s="5"/>
      <c r="C103" s="182" t="s">
        <v>336</v>
      </c>
      <c r="D103" s="58">
        <f aca="true" t="shared" si="5" ref="D103:D110">H30</f>
        <v>1000</v>
      </c>
      <c r="E103" s="6"/>
      <c r="F103" s="313">
        <v>1</v>
      </c>
      <c r="H103" s="58">
        <f aca="true" t="shared" si="6" ref="H103:H110">D103*F103</f>
        <v>1000</v>
      </c>
      <c r="I103" s="16"/>
      <c r="J103" s="10"/>
      <c r="K103" s="16"/>
      <c r="L103" s="379">
        <f>MAX(H111,N91)</f>
        <v>2632</v>
      </c>
      <c r="M103" s="17"/>
      <c r="O103" s="17"/>
      <c r="P103" s="118"/>
      <c r="Q103" s="53"/>
      <c r="R103" s="50"/>
      <c r="T103" s="1"/>
      <c r="U103" s="1"/>
      <c r="V103" s="1"/>
    </row>
    <row r="104" spans="1:22" s="4" customFormat="1" ht="12.75" customHeight="1">
      <c r="A104" s="1"/>
      <c r="B104" s="5"/>
      <c r="C104" s="182" t="s">
        <v>337</v>
      </c>
      <c r="D104" s="58">
        <f t="shared" si="5"/>
        <v>0</v>
      </c>
      <c r="E104" s="6"/>
      <c r="F104" s="313">
        <v>2</v>
      </c>
      <c r="H104" s="58">
        <f t="shared" si="6"/>
        <v>0</v>
      </c>
      <c r="I104" s="16"/>
      <c r="J104" s="10"/>
      <c r="K104" s="16"/>
      <c r="L104" s="380" t="s">
        <v>333</v>
      </c>
      <c r="M104" s="17"/>
      <c r="O104" s="17"/>
      <c r="P104" s="118"/>
      <c r="Q104" s="53"/>
      <c r="R104" s="50"/>
      <c r="T104" s="1"/>
      <c r="U104" s="1"/>
      <c r="V104" s="1"/>
    </row>
    <row r="105" spans="1:22" s="4" customFormat="1" ht="12.75" customHeight="1">
      <c r="A105" s="1"/>
      <c r="B105" s="5"/>
      <c r="C105" s="182" t="s">
        <v>338</v>
      </c>
      <c r="D105" s="58">
        <f t="shared" si="5"/>
        <v>0</v>
      </c>
      <c r="E105" s="6"/>
      <c r="F105" s="313">
        <v>2</v>
      </c>
      <c r="H105" s="58">
        <f t="shared" si="6"/>
        <v>0</v>
      </c>
      <c r="I105" s="16"/>
      <c r="J105" s="10"/>
      <c r="K105" s="16"/>
      <c r="L105" s="13"/>
      <c r="M105" s="17"/>
      <c r="O105" s="17"/>
      <c r="P105" s="118"/>
      <c r="Q105" s="53"/>
      <c r="R105" s="50"/>
      <c r="T105" s="1"/>
      <c r="U105" s="1"/>
      <c r="V105" s="1"/>
    </row>
    <row r="106" spans="1:22" s="4" customFormat="1" ht="12.75" customHeight="1">
      <c r="A106" s="1"/>
      <c r="B106" s="5"/>
      <c r="C106" s="182" t="s">
        <v>377</v>
      </c>
      <c r="D106" s="58">
        <f t="shared" si="5"/>
        <v>0</v>
      </c>
      <c r="E106" s="6"/>
      <c r="F106" s="313">
        <v>2</v>
      </c>
      <c r="H106" s="58">
        <f t="shared" si="6"/>
        <v>0</v>
      </c>
      <c r="I106" s="16"/>
      <c r="J106" s="10"/>
      <c r="K106" s="16"/>
      <c r="L106" s="13"/>
      <c r="M106" s="17"/>
      <c r="O106" s="17"/>
      <c r="P106" s="118"/>
      <c r="Q106" s="53"/>
      <c r="R106" s="50"/>
      <c r="T106" s="1"/>
      <c r="U106" s="1"/>
      <c r="V106" s="1"/>
    </row>
    <row r="107" spans="1:22" s="4" customFormat="1" ht="12.75" customHeight="1">
      <c r="A107" s="1"/>
      <c r="B107" s="5"/>
      <c r="C107" s="182" t="s">
        <v>334</v>
      </c>
      <c r="D107" s="58">
        <f t="shared" si="5"/>
        <v>0</v>
      </c>
      <c r="E107" s="6"/>
      <c r="F107" s="313">
        <v>2</v>
      </c>
      <c r="H107" s="58">
        <f t="shared" si="6"/>
        <v>0</v>
      </c>
      <c r="I107" s="16"/>
      <c r="J107" s="10"/>
      <c r="K107" s="16"/>
      <c r="L107" s="13"/>
      <c r="M107" s="17"/>
      <c r="O107" s="17"/>
      <c r="P107" s="118"/>
      <c r="Q107" s="53"/>
      <c r="R107" s="50"/>
      <c r="T107" s="1"/>
      <c r="U107" s="1"/>
      <c r="V107" s="1"/>
    </row>
    <row r="108" spans="1:22" s="4" customFormat="1" ht="12.75" customHeight="1">
      <c r="A108" s="1"/>
      <c r="B108" s="5"/>
      <c r="C108" s="182" t="s">
        <v>335</v>
      </c>
      <c r="D108" s="58">
        <f t="shared" si="5"/>
        <v>0</v>
      </c>
      <c r="E108" s="6"/>
      <c r="F108" s="313">
        <v>2</v>
      </c>
      <c r="H108" s="58">
        <f t="shared" si="6"/>
        <v>0</v>
      </c>
      <c r="I108" s="16"/>
      <c r="J108" s="10"/>
      <c r="K108" s="16"/>
      <c r="L108" s="13"/>
      <c r="M108" s="17"/>
      <c r="O108" s="17"/>
      <c r="P108" s="118"/>
      <c r="Q108" s="53"/>
      <c r="R108" s="50"/>
      <c r="T108" s="1"/>
      <c r="U108" s="1"/>
      <c r="V108" s="1"/>
    </row>
    <row r="109" spans="1:22" s="4" customFormat="1" ht="12.75" customHeight="1">
      <c r="A109" s="1"/>
      <c r="B109" s="5"/>
      <c r="C109" s="182" t="s">
        <v>339</v>
      </c>
      <c r="D109" s="58">
        <f t="shared" si="5"/>
        <v>0</v>
      </c>
      <c r="E109" s="6"/>
      <c r="F109" s="313">
        <v>1</v>
      </c>
      <c r="H109" s="58">
        <f t="shared" si="6"/>
        <v>0</v>
      </c>
      <c r="I109" s="16"/>
      <c r="J109" s="10"/>
      <c r="K109" s="16"/>
      <c r="L109" s="13"/>
      <c r="M109" s="17"/>
      <c r="O109" s="17"/>
      <c r="P109" s="118"/>
      <c r="Q109" s="53"/>
      <c r="R109" s="50"/>
      <c r="T109" s="1"/>
      <c r="U109" s="1"/>
      <c r="V109" s="1"/>
    </row>
    <row r="110" spans="1:22" s="4" customFormat="1" ht="12.75" customHeight="1">
      <c r="A110" s="1"/>
      <c r="B110" s="5"/>
      <c r="C110" s="182" t="s">
        <v>340</v>
      </c>
      <c r="D110" s="135">
        <f t="shared" si="5"/>
        <v>0</v>
      </c>
      <c r="E110" s="6"/>
      <c r="F110" s="313">
        <v>2</v>
      </c>
      <c r="H110" s="135">
        <f t="shared" si="6"/>
        <v>0</v>
      </c>
      <c r="I110" s="16"/>
      <c r="J110" s="10"/>
      <c r="K110" s="16"/>
      <c r="L110" s="13"/>
      <c r="M110" s="17"/>
      <c r="O110" s="17"/>
      <c r="P110" s="118"/>
      <c r="Q110" s="53"/>
      <c r="R110" s="50"/>
      <c r="T110" s="1"/>
      <c r="U110" s="1"/>
      <c r="V110" s="1"/>
    </row>
    <row r="111" spans="1:22" s="4" customFormat="1" ht="12.75" customHeight="1">
      <c r="A111" s="1"/>
      <c r="B111" s="5"/>
      <c r="C111" s="138"/>
      <c r="D111" s="58">
        <f>SUM(D103:D110)</f>
        <v>1000</v>
      </c>
      <c r="E111" s="6"/>
      <c r="F111" s="28"/>
      <c r="G111" s="17"/>
      <c r="H111" s="141">
        <f>SUM(H103:H110)</f>
        <v>1000</v>
      </c>
      <c r="I111" s="16"/>
      <c r="J111" s="10"/>
      <c r="K111" s="16"/>
      <c r="L111" s="13"/>
      <c r="M111" s="17"/>
      <c r="O111" s="17"/>
      <c r="P111" s="118"/>
      <c r="Q111" s="53"/>
      <c r="R111" s="50"/>
      <c r="T111" s="1"/>
      <c r="U111" s="1"/>
      <c r="V111" s="1"/>
    </row>
    <row r="112" spans="1:22" s="4" customFormat="1" ht="12.75" customHeight="1">
      <c r="A112" s="1"/>
      <c r="B112" s="5"/>
      <c r="C112" s="139"/>
      <c r="D112" s="101"/>
      <c r="E112" s="44"/>
      <c r="F112" s="140"/>
      <c r="G112" s="100"/>
      <c r="H112" s="34"/>
      <c r="I112" s="99"/>
      <c r="J112" s="120"/>
      <c r="K112" s="99"/>
      <c r="L112" s="34"/>
      <c r="M112" s="100"/>
      <c r="N112" s="101"/>
      <c r="O112" s="100"/>
      <c r="P112" s="121"/>
      <c r="Q112" s="53"/>
      <c r="R112" s="50"/>
      <c r="T112" s="1"/>
      <c r="U112" s="1"/>
      <c r="V112" s="1"/>
    </row>
    <row r="113" spans="1:22" s="4" customFormat="1" ht="12.75" customHeight="1">
      <c r="A113" s="1"/>
      <c r="B113" s="5"/>
      <c r="C113" s="105"/>
      <c r="E113" s="6"/>
      <c r="F113" s="28"/>
      <c r="G113" s="17"/>
      <c r="H113" s="13"/>
      <c r="I113" s="16"/>
      <c r="J113" s="10"/>
      <c r="K113" s="16"/>
      <c r="L113" s="13"/>
      <c r="M113" s="17"/>
      <c r="O113" s="17"/>
      <c r="P113" s="6"/>
      <c r="Q113" s="53"/>
      <c r="R113" s="50"/>
      <c r="T113" s="1"/>
      <c r="U113" s="1"/>
      <c r="V113" s="1"/>
    </row>
    <row r="114" spans="1:22" s="4" customFormat="1" ht="12.75" customHeight="1">
      <c r="A114" s="1"/>
      <c r="B114" s="5"/>
      <c r="C114" s="183" t="s">
        <v>106</v>
      </c>
      <c r="E114" s="6"/>
      <c r="F114" s="28"/>
      <c r="G114" s="17"/>
      <c r="H114" s="13"/>
      <c r="I114" s="16"/>
      <c r="J114" s="10"/>
      <c r="K114" s="16"/>
      <c r="L114" s="13"/>
      <c r="M114" s="17"/>
      <c r="O114" s="17"/>
      <c r="P114" s="6"/>
      <c r="Q114" s="53"/>
      <c r="R114" s="50"/>
      <c r="T114" s="1"/>
      <c r="U114" s="1"/>
      <c r="V114" s="1"/>
    </row>
    <row r="115" spans="1:22" s="4" customFormat="1" ht="12.75" customHeight="1">
      <c r="A115" s="1"/>
      <c r="B115" s="5"/>
      <c r="C115" s="49"/>
      <c r="E115" s="6"/>
      <c r="F115" s="28"/>
      <c r="G115" s="17"/>
      <c r="H115" s="13"/>
      <c r="I115" s="16"/>
      <c r="J115" s="10"/>
      <c r="K115" s="16"/>
      <c r="L115" s="13"/>
      <c r="M115" s="17"/>
      <c r="O115" s="17"/>
      <c r="P115" s="6"/>
      <c r="Q115" s="53"/>
      <c r="R115" s="50"/>
      <c r="T115" s="1"/>
      <c r="U115" s="1"/>
      <c r="V115" s="1"/>
    </row>
    <row r="116" spans="1:22" s="4" customFormat="1" ht="12.75" customHeight="1">
      <c r="A116" s="1"/>
      <c r="B116" s="5"/>
      <c r="C116" s="91" t="s">
        <v>35</v>
      </c>
      <c r="D116" s="13">
        <f>H125</f>
        <v>63168</v>
      </c>
      <c r="E116" s="6"/>
      <c r="F116" s="43" t="s">
        <v>65</v>
      </c>
      <c r="G116" s="17"/>
      <c r="H116" s="13"/>
      <c r="I116" s="16"/>
      <c r="J116" s="10"/>
      <c r="K116" s="16"/>
      <c r="L116" s="6"/>
      <c r="M116" s="17"/>
      <c r="N116" s="6"/>
      <c r="O116" s="17"/>
      <c r="P116" s="6"/>
      <c r="Q116" s="53"/>
      <c r="R116" s="6"/>
      <c r="T116" s="1"/>
      <c r="U116" s="1"/>
      <c r="V116" s="1"/>
    </row>
    <row r="117" spans="1:22" s="4" customFormat="1" ht="12.75" customHeight="1">
      <c r="A117" s="1"/>
      <c r="B117" s="5"/>
      <c r="C117" s="175" t="s">
        <v>22</v>
      </c>
      <c r="D117" s="13">
        <f>L125</f>
        <v>21056</v>
      </c>
      <c r="E117" s="6"/>
      <c r="F117" s="185" t="s">
        <v>241</v>
      </c>
      <c r="G117" s="17"/>
      <c r="H117" s="13"/>
      <c r="I117" s="16"/>
      <c r="J117" s="10"/>
      <c r="K117" s="16"/>
      <c r="L117" s="6"/>
      <c r="M117" s="17"/>
      <c r="N117" s="6"/>
      <c r="O117" s="17"/>
      <c r="P117" s="6"/>
      <c r="Q117" s="53"/>
      <c r="R117" s="6"/>
      <c r="T117" s="1"/>
      <c r="U117" s="1"/>
      <c r="V117" s="1"/>
    </row>
    <row r="118" spans="1:22" s="4" customFormat="1" ht="12.75" customHeight="1">
      <c r="A118" s="1"/>
      <c r="B118" s="5"/>
      <c r="C118" s="91"/>
      <c r="D118" s="6"/>
      <c r="E118" s="6"/>
      <c r="F118" s="10"/>
      <c r="G118" s="17"/>
      <c r="H118" s="13"/>
      <c r="I118" s="16"/>
      <c r="J118" s="10"/>
      <c r="K118" s="16"/>
      <c r="L118" s="6"/>
      <c r="M118" s="17"/>
      <c r="N118" s="6"/>
      <c r="O118" s="17"/>
      <c r="P118" s="6"/>
      <c r="Q118" s="53"/>
      <c r="R118" s="6"/>
      <c r="T118" s="1"/>
      <c r="U118" s="1"/>
      <c r="V118" s="1"/>
    </row>
    <row r="119" spans="1:22" s="4" customFormat="1" ht="12.75" customHeight="1">
      <c r="A119" s="1"/>
      <c r="B119" s="5"/>
      <c r="C119" s="91" t="s">
        <v>36</v>
      </c>
      <c r="D119" s="13">
        <f>L129</f>
        <v>947520</v>
      </c>
      <c r="E119" s="6"/>
      <c r="F119" s="43" t="s">
        <v>66</v>
      </c>
      <c r="G119" s="17"/>
      <c r="H119" s="13"/>
      <c r="I119" s="16"/>
      <c r="J119" s="10"/>
      <c r="K119" s="16"/>
      <c r="L119" s="6"/>
      <c r="M119" s="17"/>
      <c r="N119" s="6"/>
      <c r="O119" s="17"/>
      <c r="P119" s="6"/>
      <c r="Q119" s="53"/>
      <c r="R119" s="6"/>
      <c r="T119" s="1"/>
      <c r="U119" s="1"/>
      <c r="V119" s="1"/>
    </row>
    <row r="120" spans="1:22" s="4" customFormat="1" ht="12.75" customHeight="1">
      <c r="A120" s="1"/>
      <c r="B120" s="5"/>
      <c r="D120" s="6"/>
      <c r="E120" s="6"/>
      <c r="F120" s="10"/>
      <c r="G120" s="17"/>
      <c r="H120" s="13"/>
      <c r="I120" s="16"/>
      <c r="J120" s="10"/>
      <c r="K120" s="16"/>
      <c r="L120" s="6"/>
      <c r="M120" s="17"/>
      <c r="N120" s="6"/>
      <c r="O120" s="17"/>
      <c r="P120" s="6"/>
      <c r="Q120" s="53"/>
      <c r="R120" s="6"/>
      <c r="T120" s="1"/>
      <c r="U120" s="1"/>
      <c r="V120" s="1"/>
    </row>
    <row r="121" spans="1:22" s="4" customFormat="1" ht="12.75" customHeight="1">
      <c r="A121" s="1"/>
      <c r="B121" s="5"/>
      <c r="C121" s="11" t="s">
        <v>37</v>
      </c>
      <c r="D121" s="35">
        <f>D117+D119</f>
        <v>968576</v>
      </c>
      <c r="E121" s="6"/>
      <c r="F121" s="43" t="s">
        <v>117</v>
      </c>
      <c r="G121" s="17"/>
      <c r="H121" s="13"/>
      <c r="I121" s="16"/>
      <c r="J121" s="10"/>
      <c r="K121" s="16"/>
      <c r="L121" s="6"/>
      <c r="M121" s="17"/>
      <c r="N121" s="6"/>
      <c r="O121" s="17"/>
      <c r="P121" s="6"/>
      <c r="Q121" s="53"/>
      <c r="R121" s="6"/>
      <c r="T121" s="1"/>
      <c r="U121" s="1"/>
      <c r="V121" s="1"/>
    </row>
    <row r="122" spans="1:22" s="4" customFormat="1" ht="12.75">
      <c r="A122" s="1"/>
      <c r="B122" s="5"/>
      <c r="C122" s="41"/>
      <c r="E122" s="6"/>
      <c r="F122" s="10"/>
      <c r="G122" s="17"/>
      <c r="H122" s="13"/>
      <c r="I122" s="16"/>
      <c r="J122" s="10"/>
      <c r="K122" s="16"/>
      <c r="L122" s="13"/>
      <c r="M122" s="17"/>
      <c r="O122" s="17"/>
      <c r="P122" s="6"/>
      <c r="Q122" s="53"/>
      <c r="R122" s="6"/>
      <c r="T122" s="1"/>
      <c r="U122" s="1"/>
      <c r="V122" s="1"/>
    </row>
    <row r="123" spans="1:22" s="4" customFormat="1" ht="12.75" customHeight="1">
      <c r="A123" s="1"/>
      <c r="B123" s="5"/>
      <c r="C123" s="136"/>
      <c r="D123" s="95"/>
      <c r="E123" s="112"/>
      <c r="F123" s="137"/>
      <c r="G123" s="113"/>
      <c r="H123" s="114"/>
      <c r="I123" s="115"/>
      <c r="J123" s="116"/>
      <c r="K123" s="115"/>
      <c r="L123" s="114"/>
      <c r="M123" s="113"/>
      <c r="N123" s="95"/>
      <c r="O123" s="113"/>
      <c r="P123" s="117"/>
      <c r="Q123" s="53"/>
      <c r="R123" s="50"/>
      <c r="T123" s="1"/>
      <c r="U123" s="1"/>
      <c r="V123" s="1"/>
    </row>
    <row r="124" spans="1:22" s="4" customFormat="1" ht="38.25">
      <c r="A124" s="1"/>
      <c r="B124" s="5"/>
      <c r="C124" s="138"/>
      <c r="D124" s="60" t="s">
        <v>103</v>
      </c>
      <c r="E124" s="45" t="s">
        <v>18</v>
      </c>
      <c r="F124" s="194" t="s">
        <v>114</v>
      </c>
      <c r="G124" s="145" t="s">
        <v>29</v>
      </c>
      <c r="H124" s="191" t="s">
        <v>110</v>
      </c>
      <c r="I124" s="132" t="s">
        <v>94</v>
      </c>
      <c r="J124" s="180" t="s">
        <v>85</v>
      </c>
      <c r="K124" s="145" t="s">
        <v>29</v>
      </c>
      <c r="L124" s="191" t="s">
        <v>24</v>
      </c>
      <c r="M124" s="17"/>
      <c r="O124" s="17"/>
      <c r="P124" s="118"/>
      <c r="Q124" s="53"/>
      <c r="R124" s="50"/>
      <c r="T124" s="1"/>
      <c r="U124" s="1"/>
      <c r="V124" s="1"/>
    </row>
    <row r="125" spans="1:22" s="4" customFormat="1" ht="12.75" customHeight="1">
      <c r="A125" s="1"/>
      <c r="B125" s="5"/>
      <c r="C125" s="138" t="s">
        <v>111</v>
      </c>
      <c r="D125" s="58">
        <f>D85</f>
        <v>2632</v>
      </c>
      <c r="E125" s="6"/>
      <c r="F125" s="332">
        <v>24</v>
      </c>
      <c r="G125" s="17"/>
      <c r="H125" s="13">
        <f>D125*F125</f>
        <v>63168</v>
      </c>
      <c r="I125" s="16"/>
      <c r="J125" s="6">
        <f>$N$30</f>
        <v>3</v>
      </c>
      <c r="K125" s="16"/>
      <c r="L125" s="124">
        <f>H125/J125</f>
        <v>21056</v>
      </c>
      <c r="M125" s="17"/>
      <c r="O125" s="17"/>
      <c r="P125" s="118"/>
      <c r="Q125" s="53"/>
      <c r="R125" s="50"/>
      <c r="T125" s="1"/>
      <c r="U125" s="1"/>
      <c r="V125" s="1"/>
    </row>
    <row r="126" spans="1:22" s="4" customFormat="1" ht="12.75" customHeight="1">
      <c r="A126" s="1"/>
      <c r="B126" s="5"/>
      <c r="C126" s="138"/>
      <c r="E126" s="6"/>
      <c r="F126" s="28"/>
      <c r="G126" s="17"/>
      <c r="H126" s="13"/>
      <c r="I126" s="16"/>
      <c r="J126" s="10"/>
      <c r="K126" s="16"/>
      <c r="L126" s="13"/>
      <c r="M126" s="17"/>
      <c r="O126" s="17"/>
      <c r="P126" s="118"/>
      <c r="Q126" s="53"/>
      <c r="R126" s="50"/>
      <c r="T126" s="1"/>
      <c r="U126" s="1"/>
      <c r="V126" s="1"/>
    </row>
    <row r="127" spans="1:22" s="4" customFormat="1" ht="12.75" customHeight="1">
      <c r="A127" s="1"/>
      <c r="B127" s="5"/>
      <c r="C127" s="138"/>
      <c r="E127" s="6"/>
      <c r="F127" s="28"/>
      <c r="G127" s="17"/>
      <c r="H127" s="13"/>
      <c r="I127" s="16"/>
      <c r="J127" s="10"/>
      <c r="K127" s="16"/>
      <c r="L127" s="13"/>
      <c r="M127" s="17"/>
      <c r="O127" s="17"/>
      <c r="P127" s="118"/>
      <c r="Q127" s="53"/>
      <c r="R127" s="50"/>
      <c r="T127" s="1"/>
      <c r="U127" s="1"/>
      <c r="V127" s="1"/>
    </row>
    <row r="128" spans="1:22" s="4" customFormat="1" ht="25.5">
      <c r="A128" s="1"/>
      <c r="B128" s="5"/>
      <c r="C128" s="138"/>
      <c r="D128" s="60" t="s">
        <v>103</v>
      </c>
      <c r="E128" s="45" t="s">
        <v>18</v>
      </c>
      <c r="F128" s="189" t="s">
        <v>113</v>
      </c>
      <c r="G128" s="145" t="s">
        <v>29</v>
      </c>
      <c r="H128" s="191" t="s">
        <v>115</v>
      </c>
      <c r="I128" s="132" t="s">
        <v>18</v>
      </c>
      <c r="J128" s="180" t="s">
        <v>116</v>
      </c>
      <c r="K128" s="145" t="s">
        <v>29</v>
      </c>
      <c r="L128" s="191" t="s">
        <v>24</v>
      </c>
      <c r="O128" s="17"/>
      <c r="P128" s="118"/>
      <c r="Q128" s="53"/>
      <c r="R128" s="50"/>
      <c r="T128" s="1"/>
      <c r="U128" s="1"/>
      <c r="V128" s="1"/>
    </row>
    <row r="129" spans="1:22" s="4" customFormat="1" ht="12.75" customHeight="1">
      <c r="A129" s="1"/>
      <c r="B129" s="5"/>
      <c r="C129" s="138" t="s">
        <v>112</v>
      </c>
      <c r="D129" s="58">
        <f>D85</f>
        <v>2632</v>
      </c>
      <c r="E129" s="6"/>
      <c r="F129" s="332">
        <v>30</v>
      </c>
      <c r="G129" s="17"/>
      <c r="H129" s="13">
        <f>D129*F129</f>
        <v>78960</v>
      </c>
      <c r="I129" s="16"/>
      <c r="J129" s="6">
        <v>12</v>
      </c>
      <c r="K129" s="16"/>
      <c r="L129" s="124">
        <f>H129*J129</f>
        <v>947520</v>
      </c>
      <c r="M129" s="17"/>
      <c r="O129" s="17"/>
      <c r="P129" s="118"/>
      <c r="Q129" s="53"/>
      <c r="R129" s="50"/>
      <c r="T129" s="1"/>
      <c r="U129" s="1"/>
      <c r="V129" s="1"/>
    </row>
    <row r="130" spans="1:22" s="4" customFormat="1" ht="12.75" customHeight="1">
      <c r="A130" s="1"/>
      <c r="B130" s="5"/>
      <c r="C130" s="139"/>
      <c r="D130" s="101"/>
      <c r="E130" s="44"/>
      <c r="F130" s="140"/>
      <c r="G130" s="100"/>
      <c r="H130" s="34"/>
      <c r="I130" s="99"/>
      <c r="J130" s="120"/>
      <c r="K130" s="99"/>
      <c r="L130" s="34"/>
      <c r="M130" s="100"/>
      <c r="N130" s="101"/>
      <c r="O130" s="100"/>
      <c r="P130" s="121"/>
      <c r="Q130" s="53"/>
      <c r="R130" s="50"/>
      <c r="T130" s="1"/>
      <c r="U130" s="1"/>
      <c r="V130" s="1"/>
    </row>
    <row r="131" spans="1:22" s="4" customFormat="1" ht="12.75" customHeight="1">
      <c r="A131" s="1"/>
      <c r="B131" s="5"/>
      <c r="C131" s="105"/>
      <c r="E131" s="6"/>
      <c r="F131" s="28"/>
      <c r="G131" s="17"/>
      <c r="H131" s="13"/>
      <c r="I131" s="16"/>
      <c r="J131" s="10"/>
      <c r="K131" s="16"/>
      <c r="L131" s="13"/>
      <c r="M131" s="17"/>
      <c r="O131" s="17"/>
      <c r="P131" s="6"/>
      <c r="Q131" s="53"/>
      <c r="R131" s="50"/>
      <c r="T131" s="1"/>
      <c r="U131" s="1"/>
      <c r="V131" s="1"/>
    </row>
    <row r="132" spans="1:22" s="4" customFormat="1" ht="12.75" customHeight="1">
      <c r="A132" s="1"/>
      <c r="B132" s="5"/>
      <c r="C132" s="105"/>
      <c r="E132" s="6"/>
      <c r="F132" s="28"/>
      <c r="G132" s="17"/>
      <c r="H132" s="13"/>
      <c r="I132" s="16"/>
      <c r="J132" s="10"/>
      <c r="K132" s="16"/>
      <c r="L132" s="13"/>
      <c r="M132" s="17"/>
      <c r="O132" s="17"/>
      <c r="P132" s="6"/>
      <c r="Q132" s="53"/>
      <c r="R132" s="50"/>
      <c r="T132" s="1"/>
      <c r="U132" s="1"/>
      <c r="V132" s="1"/>
    </row>
    <row r="133" spans="1:22" s="4" customFormat="1" ht="12.75" customHeight="1" thickBot="1">
      <c r="A133" s="1"/>
      <c r="B133" s="5"/>
      <c r="C133" s="123" t="s">
        <v>107</v>
      </c>
      <c r="D133" s="71"/>
      <c r="E133" s="71"/>
      <c r="F133" s="72"/>
      <c r="G133" s="73"/>
      <c r="H133" s="74"/>
      <c r="I133" s="33"/>
      <c r="J133" s="72"/>
      <c r="K133" s="33"/>
      <c r="L133" s="71"/>
      <c r="M133" s="73"/>
      <c r="N133" s="71"/>
      <c r="O133" s="73"/>
      <c r="P133" s="71"/>
      <c r="Q133" s="53"/>
      <c r="R133" s="50"/>
      <c r="T133" s="1"/>
      <c r="U133" s="1"/>
      <c r="V133" s="1"/>
    </row>
    <row r="134" spans="1:22" s="4" customFormat="1" ht="12.75" customHeight="1">
      <c r="A134" s="1"/>
      <c r="B134" s="5"/>
      <c r="C134" s="105"/>
      <c r="D134" s="10"/>
      <c r="E134" s="6"/>
      <c r="F134" s="28"/>
      <c r="G134" s="17"/>
      <c r="H134" s="13"/>
      <c r="I134" s="16"/>
      <c r="J134" s="10"/>
      <c r="K134" s="16"/>
      <c r="L134" s="13"/>
      <c r="M134" s="17"/>
      <c r="N134" s="6"/>
      <c r="O134" s="17"/>
      <c r="P134" s="6"/>
      <c r="Q134" s="53"/>
      <c r="R134" s="6"/>
      <c r="T134" s="1"/>
      <c r="U134" s="1"/>
      <c r="V134" s="1"/>
    </row>
    <row r="135" spans="1:22" s="4" customFormat="1" ht="12.75" customHeight="1">
      <c r="A135" s="1"/>
      <c r="B135" s="5"/>
      <c r="C135" s="11" t="s">
        <v>24</v>
      </c>
      <c r="D135" s="35">
        <f>L139</f>
        <v>15000</v>
      </c>
      <c r="E135" s="6"/>
      <c r="F135" s="43" t="s">
        <v>55</v>
      </c>
      <c r="G135" s="17"/>
      <c r="H135" s="13"/>
      <c r="I135" s="16"/>
      <c r="J135" s="10"/>
      <c r="K135" s="16"/>
      <c r="L135" s="6"/>
      <c r="M135" s="17"/>
      <c r="N135" s="6"/>
      <c r="O135" s="17"/>
      <c r="P135" s="6"/>
      <c r="Q135" s="53"/>
      <c r="R135" s="6"/>
      <c r="T135" s="1"/>
      <c r="U135" s="1"/>
      <c r="V135" s="1"/>
    </row>
    <row r="136" spans="1:22" s="4" customFormat="1" ht="12.75" customHeight="1">
      <c r="A136" s="1"/>
      <c r="B136" s="5"/>
      <c r="D136" s="6"/>
      <c r="E136" s="6"/>
      <c r="F136" s="10"/>
      <c r="G136" s="17"/>
      <c r="H136" s="13"/>
      <c r="I136" s="16"/>
      <c r="J136" s="10"/>
      <c r="K136" s="16"/>
      <c r="L136" s="6"/>
      <c r="M136" s="17"/>
      <c r="N136" s="6"/>
      <c r="O136" s="17"/>
      <c r="P136" s="6"/>
      <c r="Q136" s="53"/>
      <c r="R136" s="6"/>
      <c r="T136" s="1"/>
      <c r="U136" s="1"/>
      <c r="V136" s="1"/>
    </row>
    <row r="137" spans="1:22" s="4" customFormat="1" ht="12.75" customHeight="1">
      <c r="A137" s="1"/>
      <c r="B137" s="5"/>
      <c r="C137" s="111"/>
      <c r="D137" s="112"/>
      <c r="E137" s="112"/>
      <c r="F137" s="116"/>
      <c r="G137" s="113"/>
      <c r="H137" s="114"/>
      <c r="I137" s="115"/>
      <c r="J137" s="116"/>
      <c r="K137" s="115"/>
      <c r="L137" s="112"/>
      <c r="M137" s="113"/>
      <c r="N137" s="112"/>
      <c r="O137" s="113"/>
      <c r="P137" s="117"/>
      <c r="Q137" s="53"/>
      <c r="R137" s="6"/>
      <c r="T137" s="1"/>
      <c r="U137" s="1"/>
      <c r="V137" s="1"/>
    </row>
    <row r="138" spans="1:22" s="4" customFormat="1" ht="38.25">
      <c r="A138" s="1"/>
      <c r="B138" s="5"/>
      <c r="C138" s="129"/>
      <c r="D138" s="59" t="s">
        <v>30</v>
      </c>
      <c r="E138" s="45" t="s">
        <v>18</v>
      </c>
      <c r="F138" s="189" t="s">
        <v>118</v>
      </c>
      <c r="G138" s="42" t="s">
        <v>18</v>
      </c>
      <c r="H138" s="189" t="s">
        <v>19</v>
      </c>
      <c r="I138" s="42" t="s">
        <v>18</v>
      </c>
      <c r="J138" s="189" t="s">
        <v>302</v>
      </c>
      <c r="K138" s="146" t="s">
        <v>29</v>
      </c>
      <c r="L138" s="59" t="s">
        <v>24</v>
      </c>
      <c r="M138" s="17"/>
      <c r="N138" s="6"/>
      <c r="O138" s="17"/>
      <c r="P138" s="118"/>
      <c r="Q138" s="53"/>
      <c r="R138" s="6"/>
      <c r="T138" s="1"/>
      <c r="U138" s="1"/>
      <c r="V138" s="1"/>
    </row>
    <row r="139" spans="1:22" s="4" customFormat="1" ht="12.75" customHeight="1">
      <c r="A139" s="1"/>
      <c r="B139" s="5"/>
      <c r="C139" s="96" t="s">
        <v>93</v>
      </c>
      <c r="D139" s="6">
        <f>$H$38</f>
        <v>1000</v>
      </c>
      <c r="E139" s="6"/>
      <c r="F139" s="314">
        <v>0.1</v>
      </c>
      <c r="G139" s="17"/>
      <c r="H139" s="334">
        <v>1</v>
      </c>
      <c r="I139" s="16"/>
      <c r="J139" s="332">
        <v>150</v>
      </c>
      <c r="K139" s="16"/>
      <c r="L139" s="124">
        <f>D139*F139*H139*J139</f>
        <v>15000</v>
      </c>
      <c r="M139" s="17"/>
      <c r="N139" s="6"/>
      <c r="O139" s="17"/>
      <c r="P139" s="118"/>
      <c r="Q139" s="53"/>
      <c r="R139" s="6"/>
      <c r="T139" s="1"/>
      <c r="U139" s="1"/>
      <c r="V139" s="1"/>
    </row>
    <row r="140" spans="1:22" s="4" customFormat="1" ht="12.75" customHeight="1">
      <c r="A140" s="1"/>
      <c r="B140" s="5"/>
      <c r="C140" s="119"/>
      <c r="D140" s="44"/>
      <c r="E140" s="44"/>
      <c r="F140" s="120"/>
      <c r="G140" s="100"/>
      <c r="H140" s="34"/>
      <c r="I140" s="99"/>
      <c r="J140" s="120"/>
      <c r="K140" s="99"/>
      <c r="L140" s="44"/>
      <c r="M140" s="100"/>
      <c r="N140" s="44"/>
      <c r="O140" s="100"/>
      <c r="P140" s="121"/>
      <c r="Q140" s="53"/>
      <c r="R140" s="6"/>
      <c r="T140" s="1"/>
      <c r="U140" s="1"/>
      <c r="V140" s="1"/>
    </row>
    <row r="141" spans="1:22" s="4" customFormat="1" ht="12.75" customHeight="1">
      <c r="A141" s="1"/>
      <c r="B141" s="5"/>
      <c r="D141" s="6"/>
      <c r="E141" s="6"/>
      <c r="F141" s="10"/>
      <c r="G141" s="17"/>
      <c r="H141" s="13"/>
      <c r="I141" s="16"/>
      <c r="J141" s="10"/>
      <c r="K141" s="16"/>
      <c r="L141" s="6"/>
      <c r="M141" s="17"/>
      <c r="N141" s="6"/>
      <c r="O141" s="17"/>
      <c r="P141" s="6"/>
      <c r="Q141" s="53"/>
      <c r="R141" s="6"/>
      <c r="T141" s="1"/>
      <c r="U141" s="1"/>
      <c r="V141" s="1"/>
    </row>
    <row r="142" spans="1:22" s="4" customFormat="1" ht="12.75" customHeight="1" thickBot="1">
      <c r="A142" s="1"/>
      <c r="B142" s="5"/>
      <c r="C142" s="123" t="s">
        <v>168</v>
      </c>
      <c r="D142" s="71"/>
      <c r="E142" s="71"/>
      <c r="F142" s="72"/>
      <c r="G142" s="73"/>
      <c r="H142" s="74"/>
      <c r="I142" s="33"/>
      <c r="J142" s="72"/>
      <c r="K142" s="33"/>
      <c r="L142" s="71"/>
      <c r="M142" s="73"/>
      <c r="N142" s="71"/>
      <c r="O142" s="73"/>
      <c r="P142" s="71"/>
      <c r="Q142" s="53"/>
      <c r="R142" s="6"/>
      <c r="T142" s="1"/>
      <c r="U142" s="1"/>
      <c r="V142" s="1"/>
    </row>
    <row r="143" spans="1:22" s="4" customFormat="1" ht="12.75" customHeight="1">
      <c r="A143" s="1"/>
      <c r="B143" s="5"/>
      <c r="C143" s="105"/>
      <c r="D143" s="10"/>
      <c r="E143" s="6"/>
      <c r="F143" s="28"/>
      <c r="G143" s="17"/>
      <c r="H143" s="13"/>
      <c r="I143" s="16"/>
      <c r="J143" s="10"/>
      <c r="K143" s="16"/>
      <c r="L143" s="13"/>
      <c r="M143" s="17"/>
      <c r="N143" s="6"/>
      <c r="O143" s="17"/>
      <c r="P143" s="6"/>
      <c r="Q143" s="53"/>
      <c r="R143" s="6"/>
      <c r="T143" s="1"/>
      <c r="U143" s="1"/>
      <c r="V143" s="1"/>
    </row>
    <row r="144" spans="1:22" s="4" customFormat="1" ht="12.75" customHeight="1">
      <c r="A144" s="1"/>
      <c r="B144" s="5"/>
      <c r="C144" s="11" t="s">
        <v>38</v>
      </c>
      <c r="D144" s="35">
        <f>L164</f>
        <v>23109.94535519126</v>
      </c>
      <c r="E144" s="6"/>
      <c r="F144" s="43" t="s">
        <v>39</v>
      </c>
      <c r="G144" s="17"/>
      <c r="H144" s="13"/>
      <c r="I144" s="16"/>
      <c r="J144" s="10"/>
      <c r="K144" s="16"/>
      <c r="L144" s="6"/>
      <c r="M144" s="17"/>
      <c r="N144" s="6"/>
      <c r="O144" s="17"/>
      <c r="P144" s="6"/>
      <c r="Q144" s="53"/>
      <c r="R144" s="6"/>
      <c r="T144" s="1"/>
      <c r="U144" s="1"/>
      <c r="V144" s="1"/>
    </row>
    <row r="145" spans="1:22" s="4" customFormat="1" ht="12.75" customHeight="1">
      <c r="A145" s="1"/>
      <c r="B145" s="5"/>
      <c r="C145" s="105"/>
      <c r="D145" s="10"/>
      <c r="E145" s="6"/>
      <c r="F145" s="28"/>
      <c r="G145" s="17"/>
      <c r="H145" s="13"/>
      <c r="I145" s="16"/>
      <c r="J145" s="10"/>
      <c r="K145" s="16"/>
      <c r="L145" s="13"/>
      <c r="M145" s="17"/>
      <c r="N145" s="6"/>
      <c r="O145" s="17"/>
      <c r="P145" s="6"/>
      <c r="Q145" s="53"/>
      <c r="R145" s="6"/>
      <c r="T145" s="1"/>
      <c r="U145" s="1"/>
      <c r="V145" s="1"/>
    </row>
    <row r="146" spans="1:22" s="4" customFormat="1" ht="12.75" customHeight="1">
      <c r="A146" s="1"/>
      <c r="B146" s="5"/>
      <c r="C146" s="136"/>
      <c r="D146" s="116"/>
      <c r="E146" s="112"/>
      <c r="F146" s="137"/>
      <c r="G146" s="113"/>
      <c r="H146" s="114"/>
      <c r="I146" s="115"/>
      <c r="J146" s="116"/>
      <c r="K146" s="115"/>
      <c r="L146" s="114"/>
      <c r="M146" s="113"/>
      <c r="N146" s="112"/>
      <c r="O146" s="113"/>
      <c r="P146" s="117"/>
      <c r="Q146" s="53"/>
      <c r="R146" s="6"/>
      <c r="T146" s="1"/>
      <c r="U146" s="1"/>
      <c r="V146" s="1"/>
    </row>
    <row r="147" spans="1:22" s="4" customFormat="1" ht="38.25">
      <c r="A147" s="1"/>
      <c r="B147" s="5"/>
      <c r="C147" s="138"/>
      <c r="D147" s="192" t="s">
        <v>121</v>
      </c>
      <c r="E147" s="66" t="s">
        <v>13</v>
      </c>
      <c r="F147" s="192" t="s">
        <v>120</v>
      </c>
      <c r="G147" s="132" t="s">
        <v>18</v>
      </c>
      <c r="H147" s="188" t="s">
        <v>180</v>
      </c>
      <c r="I147" s="132" t="s">
        <v>94</v>
      </c>
      <c r="J147" s="188" t="s">
        <v>179</v>
      </c>
      <c r="K147" s="90" t="s">
        <v>29</v>
      </c>
      <c r="L147" s="64" t="s">
        <v>119</v>
      </c>
      <c r="M147" s="4" t="s">
        <v>18</v>
      </c>
      <c r="N147" s="203" t="s">
        <v>212</v>
      </c>
      <c r="O147" s="90" t="s">
        <v>29</v>
      </c>
      <c r="P147" s="193" t="s">
        <v>12</v>
      </c>
      <c r="Q147" s="53"/>
      <c r="R147" s="6"/>
      <c r="T147" s="1"/>
      <c r="U147" s="1"/>
      <c r="V147" s="1"/>
    </row>
    <row r="148" spans="1:22" s="4" customFormat="1" ht="12.75" customHeight="1">
      <c r="A148" s="1"/>
      <c r="B148" s="5"/>
      <c r="C148" s="96" t="s">
        <v>41</v>
      </c>
      <c r="D148" s="58">
        <f>Main!D62</f>
        <v>2950</v>
      </c>
      <c r="E148" s="29"/>
      <c r="F148" s="58">
        <f>Main!F62</f>
        <v>5900</v>
      </c>
      <c r="H148" s="313">
        <f>8*1024</f>
        <v>8192</v>
      </c>
      <c r="I148" s="17"/>
      <c r="J148" s="313">
        <f>60*60*24*30.5</f>
        <v>2635200</v>
      </c>
      <c r="K148" s="17"/>
      <c r="L148" s="25">
        <f>(D148+F148)/J148*H148</f>
        <v>27.51183970856102</v>
      </c>
      <c r="N148" s="335">
        <v>1</v>
      </c>
      <c r="P148" s="186">
        <f>L148*N148</f>
        <v>27.51183970856102</v>
      </c>
      <c r="Q148" s="53"/>
      <c r="R148" s="6"/>
      <c r="T148" s="1"/>
      <c r="U148" s="1"/>
      <c r="V148" s="1"/>
    </row>
    <row r="149" spans="1:22" s="4" customFormat="1" ht="12.75" customHeight="1">
      <c r="A149" s="1"/>
      <c r="B149" s="5"/>
      <c r="C149" s="138"/>
      <c r="D149" s="10"/>
      <c r="E149" s="6"/>
      <c r="F149" s="28"/>
      <c r="G149" s="17"/>
      <c r="H149" s="13"/>
      <c r="I149" s="16"/>
      <c r="J149" s="10"/>
      <c r="K149" s="16"/>
      <c r="L149" s="13"/>
      <c r="M149" s="17"/>
      <c r="N149" s="6"/>
      <c r="O149" s="17"/>
      <c r="P149" s="118"/>
      <c r="Q149" s="53"/>
      <c r="R149" s="6"/>
      <c r="T149" s="1"/>
      <c r="U149" s="1"/>
      <c r="V149" s="1"/>
    </row>
    <row r="150" spans="1:22" s="4" customFormat="1" ht="12.75" customHeight="1">
      <c r="A150" s="1"/>
      <c r="B150" s="5"/>
      <c r="C150" s="138" t="s">
        <v>170</v>
      </c>
      <c r="D150" s="10"/>
      <c r="E150" s="6"/>
      <c r="F150" s="28"/>
      <c r="G150" s="17"/>
      <c r="H150" s="13"/>
      <c r="I150" s="16"/>
      <c r="J150" s="10"/>
      <c r="K150" s="16"/>
      <c r="L150" s="13"/>
      <c r="M150" s="17"/>
      <c r="N150" s="6"/>
      <c r="O150" s="17"/>
      <c r="P150" s="118"/>
      <c r="Q150" s="53"/>
      <c r="R150" s="6"/>
      <c r="T150" s="1"/>
      <c r="U150" s="1"/>
      <c r="V150" s="1"/>
    </row>
    <row r="151" spans="1:22" s="4" customFormat="1" ht="12.75" customHeight="1">
      <c r="A151" s="1"/>
      <c r="B151" s="5"/>
      <c r="C151" s="138"/>
      <c r="D151" s="10"/>
      <c r="E151" s="6"/>
      <c r="F151" s="28"/>
      <c r="G151" s="17"/>
      <c r="H151" s="13"/>
      <c r="I151" s="16"/>
      <c r="J151" s="10"/>
      <c r="K151" s="16"/>
      <c r="L151" s="13"/>
      <c r="M151" s="17"/>
      <c r="N151" s="6"/>
      <c r="O151" s="17"/>
      <c r="P151" s="118"/>
      <c r="Q151" s="53"/>
      <c r="R151" s="6"/>
      <c r="T151" s="1"/>
      <c r="U151" s="1"/>
      <c r="V151" s="1"/>
    </row>
    <row r="152" spans="1:22" s="4" customFormat="1" ht="12.75" customHeight="1">
      <c r="A152" s="1"/>
      <c r="B152" s="5"/>
      <c r="C152" s="143" t="s">
        <v>124</v>
      </c>
      <c r="E152" s="17"/>
      <c r="F152" s="16"/>
      <c r="G152" s="17"/>
      <c r="H152" s="13"/>
      <c r="I152" s="16"/>
      <c r="J152" s="10"/>
      <c r="K152" s="16"/>
      <c r="L152" s="13"/>
      <c r="M152" s="17"/>
      <c r="N152" s="6"/>
      <c r="O152" s="17"/>
      <c r="P152" s="118"/>
      <c r="Q152" s="53"/>
      <c r="R152" s="6"/>
      <c r="T152" s="1"/>
      <c r="U152" s="1"/>
      <c r="V152" s="1"/>
    </row>
    <row r="153" spans="1:22" s="4" customFormat="1" ht="25.5">
      <c r="A153" s="1"/>
      <c r="B153" s="5"/>
      <c r="C153" s="151"/>
      <c r="D153" s="203" t="s">
        <v>209</v>
      </c>
      <c r="E153" s="17"/>
      <c r="F153" s="203" t="s">
        <v>68</v>
      </c>
      <c r="G153" s="17"/>
      <c r="H153" s="13"/>
      <c r="I153" s="16"/>
      <c r="J153" s="10"/>
      <c r="K153" s="16"/>
      <c r="L153" s="13"/>
      <c r="M153" s="17"/>
      <c r="N153" s="6"/>
      <c r="O153" s="17"/>
      <c r="P153" s="118"/>
      <c r="Q153" s="53"/>
      <c r="R153" s="6"/>
      <c r="T153" s="1"/>
      <c r="U153" s="1"/>
      <c r="V153" s="1"/>
    </row>
    <row r="154" spans="1:22" s="4" customFormat="1" ht="12.75" customHeight="1">
      <c r="A154" s="1"/>
      <c r="B154" s="5"/>
      <c r="C154" s="83" t="str">
        <f aca="true" t="shared" si="7" ref="C154:C160">D154&amp;" - "&amp;D155&amp;" Mbps"</f>
        <v>0 - 1 Mbps</v>
      </c>
      <c r="D154" s="16">
        <v>0</v>
      </c>
      <c r="E154" s="17"/>
      <c r="F154" s="332">
        <v>100</v>
      </c>
      <c r="G154" s="17"/>
      <c r="H154" s="148">
        <f>IF(F154=VLOOKUP($P$148,$D$154:$F$161,3,1),"&lt;---This pricing tier will be used based on monthly peak mbps of "&amp;FIXED($P$148,1),"")</f>
      </c>
      <c r="I154" s="16"/>
      <c r="J154" s="10"/>
      <c r="K154" s="16"/>
      <c r="L154" s="13"/>
      <c r="M154" s="17"/>
      <c r="N154" s="6"/>
      <c r="O154" s="17"/>
      <c r="P154" s="118"/>
      <c r="Q154" s="53"/>
      <c r="R154" s="6"/>
      <c r="T154" s="1"/>
      <c r="U154" s="1"/>
      <c r="V154" s="1"/>
    </row>
    <row r="155" spans="1:22" s="4" customFormat="1" ht="12.75" customHeight="1">
      <c r="A155" s="1"/>
      <c r="B155" s="5"/>
      <c r="C155" s="83" t="str">
        <f t="shared" si="7"/>
        <v>1 - 5 Mbps</v>
      </c>
      <c r="D155" s="334">
        <v>1</v>
      </c>
      <c r="E155" s="17"/>
      <c r="F155" s="332">
        <v>80</v>
      </c>
      <c r="G155" s="17"/>
      <c r="H155" s="148">
        <f aca="true" t="shared" si="8" ref="H155:H161">IF(F155=VLOOKUP($P$148,$D$154:$F$161,3,1),"&lt;---This pricing tier will be used based on monthly peak mbps of "&amp;FIXED($P$148,1),"")</f>
      </c>
      <c r="I155" s="16"/>
      <c r="J155" s="10"/>
      <c r="K155" s="16"/>
      <c r="L155" s="13"/>
      <c r="M155" s="17"/>
      <c r="N155" s="6"/>
      <c r="O155" s="17"/>
      <c r="P155" s="118"/>
      <c r="Q155" s="53"/>
      <c r="R155" s="6"/>
      <c r="T155" s="1"/>
      <c r="U155" s="1"/>
      <c r="V155" s="1"/>
    </row>
    <row r="156" spans="1:22" s="4" customFormat="1" ht="12.75" customHeight="1">
      <c r="A156" s="1"/>
      <c r="B156" s="5"/>
      <c r="C156" s="83" t="str">
        <f t="shared" si="7"/>
        <v>5 - 10 Mbps</v>
      </c>
      <c r="D156" s="334">
        <v>5</v>
      </c>
      <c r="E156" s="17"/>
      <c r="F156" s="332">
        <v>75</v>
      </c>
      <c r="G156" s="17"/>
      <c r="H156" s="148">
        <f t="shared" si="8"/>
      </c>
      <c r="I156" s="16"/>
      <c r="J156" s="10"/>
      <c r="K156" s="16"/>
      <c r="L156" s="13"/>
      <c r="M156" s="17"/>
      <c r="N156" s="6"/>
      <c r="O156" s="17"/>
      <c r="P156" s="118"/>
      <c r="Q156" s="53"/>
      <c r="R156" s="6"/>
      <c r="T156" s="1"/>
      <c r="U156" s="1"/>
      <c r="V156" s="1"/>
    </row>
    <row r="157" spans="1:22" s="4" customFormat="1" ht="12.75">
      <c r="A157" s="1"/>
      <c r="B157" s="5"/>
      <c r="C157" s="83" t="str">
        <f t="shared" si="7"/>
        <v>10 - 30 Mbps</v>
      </c>
      <c r="D157" s="334">
        <v>10</v>
      </c>
      <c r="E157" s="17"/>
      <c r="F157" s="332">
        <v>70</v>
      </c>
      <c r="H157" s="148" t="str">
        <f t="shared" si="8"/>
        <v>&lt;---This pricing tier will be used based on monthly peak mbps of 27.5</v>
      </c>
      <c r="I157" s="87"/>
      <c r="P157" s="110"/>
      <c r="Q157" s="154"/>
      <c r="T157" s="1"/>
      <c r="U157" s="1"/>
      <c r="V157" s="1"/>
    </row>
    <row r="158" spans="1:22" s="4" customFormat="1" ht="12.75">
      <c r="A158" s="1"/>
      <c r="B158" s="5"/>
      <c r="C158" s="83" t="str">
        <f t="shared" si="7"/>
        <v>30 - 50 Mbps</v>
      </c>
      <c r="D158" s="334">
        <v>30</v>
      </c>
      <c r="E158" s="46"/>
      <c r="F158" s="332">
        <v>60</v>
      </c>
      <c r="H158" s="148">
        <f t="shared" si="8"/>
      </c>
      <c r="P158" s="107"/>
      <c r="Q158" s="154"/>
      <c r="T158" s="1"/>
      <c r="U158" s="1"/>
      <c r="V158" s="1"/>
    </row>
    <row r="159" spans="1:22" s="4" customFormat="1" ht="12.75">
      <c r="A159" s="1"/>
      <c r="B159" s="5"/>
      <c r="C159" s="83" t="str">
        <f t="shared" si="7"/>
        <v>50 - 100 Mbps</v>
      </c>
      <c r="D159" s="334">
        <v>50</v>
      </c>
      <c r="E159" s="6"/>
      <c r="F159" s="332">
        <v>50</v>
      </c>
      <c r="G159" s="17"/>
      <c r="H159" s="148">
        <f t="shared" si="8"/>
      </c>
      <c r="I159" s="17"/>
      <c r="K159" s="17"/>
      <c r="P159" s="107"/>
      <c r="Q159" s="154"/>
      <c r="R159" s="16"/>
      <c r="T159" s="1"/>
      <c r="U159" s="1"/>
      <c r="V159" s="1"/>
    </row>
    <row r="160" spans="1:22" s="4" customFormat="1" ht="12.75">
      <c r="A160" s="1"/>
      <c r="B160" s="5"/>
      <c r="C160" s="83" t="str">
        <f t="shared" si="7"/>
        <v>100 - 150 Mbps</v>
      </c>
      <c r="D160" s="334">
        <v>100</v>
      </c>
      <c r="E160" s="17"/>
      <c r="F160" s="332">
        <v>40</v>
      </c>
      <c r="G160" s="17"/>
      <c r="H160" s="148">
        <f t="shared" si="8"/>
      </c>
      <c r="I160" s="17"/>
      <c r="P160" s="107"/>
      <c r="Q160" s="54"/>
      <c r="R160" s="16"/>
      <c r="T160" s="1"/>
      <c r="U160" s="1"/>
      <c r="V160" s="1"/>
    </row>
    <row r="161" spans="1:22" s="4" customFormat="1" ht="12.75">
      <c r="A161" s="1"/>
      <c r="B161" s="5"/>
      <c r="C161" s="83" t="str">
        <f>"&gt; "&amp;D161&amp;" Mbps"</f>
        <v>&gt; 150 Mbps</v>
      </c>
      <c r="D161" s="334">
        <v>150</v>
      </c>
      <c r="E161" s="17"/>
      <c r="F161" s="332">
        <v>30</v>
      </c>
      <c r="G161" s="17"/>
      <c r="H161" s="148">
        <f t="shared" si="8"/>
      </c>
      <c r="I161" s="17"/>
      <c r="P161" s="107"/>
      <c r="Q161" s="54"/>
      <c r="R161" s="16"/>
      <c r="T161" s="1"/>
      <c r="U161" s="1"/>
      <c r="V161" s="1"/>
    </row>
    <row r="162" spans="1:22" s="4" customFormat="1" ht="12.75">
      <c r="A162" s="1"/>
      <c r="B162" s="5"/>
      <c r="C162" s="129"/>
      <c r="D162" s="147">
        <f>IF(AND(D161&gt;MAX(D155:D160),D160&gt;MAX(D155:D159),D159&gt;MAX(D155:D158),D158&gt;MAX(D155:D157),D157&gt;MAX(D155:D156),D156&gt;D155,D155&gt;D154),"","Error:  Breakpoints must be in ascending order")</f>
      </c>
      <c r="G162" s="17"/>
      <c r="H162" s="17"/>
      <c r="I162" s="17"/>
      <c r="K162" s="63"/>
      <c r="M162" s="40"/>
      <c r="P162" s="107"/>
      <c r="Q162" s="54"/>
      <c r="R162" s="16"/>
      <c r="T162" s="1"/>
      <c r="U162" s="1"/>
      <c r="V162" s="1"/>
    </row>
    <row r="163" spans="1:22" s="4" customFormat="1" ht="25.5">
      <c r="A163" s="1"/>
      <c r="B163" s="5"/>
      <c r="C163" s="129"/>
      <c r="D163" s="64" t="s">
        <v>12</v>
      </c>
      <c r="E163" s="126"/>
      <c r="F163" s="60" t="s">
        <v>68</v>
      </c>
      <c r="G163" s="42"/>
      <c r="H163" s="64" t="s">
        <v>122</v>
      </c>
      <c r="I163" s="42"/>
      <c r="J163" s="60" t="s">
        <v>123</v>
      </c>
      <c r="K163" s="42"/>
      <c r="L163" s="60" t="s">
        <v>10</v>
      </c>
      <c r="M163" s="16"/>
      <c r="P163" s="107"/>
      <c r="Q163" s="54"/>
      <c r="R163" s="16"/>
      <c r="T163" s="1"/>
      <c r="U163" s="1"/>
      <c r="V163" s="1"/>
    </row>
    <row r="164" spans="1:22" s="4" customFormat="1" ht="12.75">
      <c r="A164" s="1"/>
      <c r="B164" s="5"/>
      <c r="C164" s="96" t="s">
        <v>169</v>
      </c>
      <c r="D164" s="149">
        <f>P148</f>
        <v>27.51183970856102</v>
      </c>
      <c r="E164" s="7"/>
      <c r="F164" s="24">
        <f>VLOOKUP($D$164,$D$154:$F$161,3,1)</f>
        <v>70</v>
      </c>
      <c r="G164" s="16"/>
      <c r="H164" s="13">
        <f>D164*F164</f>
        <v>1925.8287795992715</v>
      </c>
      <c r="I164" s="16"/>
      <c r="J164" s="7">
        <v>12</v>
      </c>
      <c r="K164" s="16"/>
      <c r="L164" s="130">
        <f>H164*J164</f>
        <v>23109.94535519126</v>
      </c>
      <c r="M164" s="16"/>
      <c r="P164" s="107"/>
      <c r="Q164" s="54"/>
      <c r="R164" s="16"/>
      <c r="T164" s="1"/>
      <c r="U164" s="1"/>
      <c r="V164" s="1"/>
    </row>
    <row r="165" spans="1:22" s="4" customFormat="1" ht="12.75">
      <c r="A165" s="1"/>
      <c r="B165" s="5"/>
      <c r="C165" s="119"/>
      <c r="D165" s="101"/>
      <c r="E165" s="101"/>
      <c r="F165" s="101"/>
      <c r="G165" s="100"/>
      <c r="H165" s="100"/>
      <c r="I165" s="100"/>
      <c r="J165" s="101"/>
      <c r="K165" s="100"/>
      <c r="L165" s="101"/>
      <c r="M165" s="99"/>
      <c r="N165" s="101"/>
      <c r="O165" s="101"/>
      <c r="P165" s="108"/>
      <c r="Q165" s="54"/>
      <c r="T165" s="1"/>
      <c r="U165" s="1"/>
      <c r="V165" s="1"/>
    </row>
    <row r="166" spans="1:22" s="4" customFormat="1" ht="13.5" thickBot="1">
      <c r="A166" s="1"/>
      <c r="B166" s="20"/>
      <c r="C166" s="21"/>
      <c r="D166" s="21"/>
      <c r="E166" s="21"/>
      <c r="F166" s="21"/>
      <c r="G166" s="152"/>
      <c r="H166" s="73"/>
      <c r="I166" s="73"/>
      <c r="J166" s="21"/>
      <c r="K166" s="73"/>
      <c r="L166" s="21"/>
      <c r="M166" s="33"/>
      <c r="N166" s="21"/>
      <c r="O166" s="21"/>
      <c r="P166" s="21"/>
      <c r="Q166" s="157"/>
      <c r="T166" s="1"/>
      <c r="U166" s="1"/>
      <c r="V166" s="1"/>
    </row>
    <row r="167" spans="1:22" s="4" customFormat="1" ht="12.75">
      <c r="A167" s="1"/>
      <c r="G167" s="48"/>
      <c r="H167" s="17"/>
      <c r="I167" s="17"/>
      <c r="K167" s="17"/>
      <c r="M167" s="16"/>
      <c r="Q167" s="17"/>
      <c r="T167" s="1"/>
      <c r="U167" s="1"/>
      <c r="V167" s="1"/>
    </row>
    <row r="168" spans="1:22" s="4" customFormat="1" ht="12.75">
      <c r="A168" s="1"/>
      <c r="B168" s="1"/>
      <c r="C168" s="14" t="s">
        <v>391</v>
      </c>
      <c r="D168" s="1"/>
      <c r="E168" s="1"/>
      <c r="F168" s="1"/>
      <c r="G168" s="1"/>
      <c r="H168" s="1"/>
      <c r="I168" s="1"/>
      <c r="K168" s="1"/>
      <c r="L168" s="1"/>
      <c r="M168" s="1"/>
      <c r="N168" s="1"/>
      <c r="O168" s="1"/>
      <c r="P168" s="7"/>
      <c r="Q168" s="16"/>
      <c r="R168" s="16"/>
      <c r="T168" s="1"/>
      <c r="U168" s="1"/>
      <c r="V168" s="1"/>
    </row>
    <row r="177" ht="12.75">
      <c r="C177" s="41"/>
    </row>
  </sheetData>
  <sheetProtection/>
  <mergeCells count="1">
    <mergeCell ref="N30:N37"/>
  </mergeCells>
  <conditionalFormatting sqref="D155">
    <cfRule type="expression" priority="2" dxfId="1" stopIfTrue="1">
      <formula>AND(D155&lt;D154)</formula>
    </cfRule>
  </conditionalFormatting>
  <conditionalFormatting sqref="D156:D161">
    <cfRule type="expression" priority="1" dxfId="1" stopIfTrue="1">
      <formula>AND(D156&lt;D155)</formula>
    </cfRule>
  </conditionalFormatting>
  <conditionalFormatting sqref="K159 R159:R164 Q158:Q164">
    <cfRule type="expression" priority="44" dxfId="5" stopIfTrue="1">
      <formula>AND($C$180=1)</formula>
    </cfRule>
  </conditionalFormatting>
  <hyperlinks>
    <hyperlink ref="J29" location="CostperServer" display="Cost per Server"/>
    <hyperlink ref="N29" location="ServerUsefulLife" display="Server Useful Life (Years)"/>
    <hyperlink ref="F49" location="Colo_NetworkCost" display="Network Cost (% of Initial Server Cost)"/>
    <hyperlink ref="J49" location="Colo_NetworkUsefulLife" display="Network Useful Life (Years)"/>
    <hyperlink ref="J58" location="Colo_AnnualHardwareMaintenanceCost" display="Annual Maintenance Cost"/>
    <hyperlink ref="L90" location="Colo_PowerperRackU" display="Power per Rack U (Watts)"/>
    <hyperlink ref="F102" location="Colo_ServerSpace" display="Server Space (Rack U)"/>
    <hyperlink ref="F124" location="Colo_InitialSetupFee" display="Initial Co-Lo Set-up Fee (per U)"/>
    <hyperlink ref="F128" location="Colo_OngoingColoFee" display="Monthly Co-Lo Fee (Per U)"/>
    <hyperlink ref="F138" location="Colo_ServerFailureRate" display="Annual Server Failure Rate"/>
    <hyperlink ref="H138" location="Colo_RepairHoursperFailure" display="Repair Hours per Failure"/>
    <hyperlink ref="J138" location="Colo_RemoteHandsCostperHour" display="Remote Hands Cost per Hour"/>
    <hyperlink ref="J147" location="Colo_SecondsperMonth" display="Seconds per Month"/>
    <hyperlink ref="H147" location="Colo_MegabitsperGB" display="Megabits per GB"/>
    <hyperlink ref="N147" location="Colo_PeaktoAverageRatio" display="Peak/Average"/>
    <hyperlink ref="D153" location="Colo_BandwidthPriceTiers" display="Tier"/>
    <hyperlink ref="F153" location="Colo_BandwidthPriceTiers" display="Price per Mb/sec"/>
    <hyperlink ref="F90" location="Colo_NameplatePowerPerServer" display="Nameplate Power per Server (Watts)"/>
    <hyperlink ref="J1" location="Overview_Goto" display="Overview"/>
    <hyperlink ref="L1" location="AmazonEC2_Goto" display="Amazon EC2"/>
    <hyperlink ref="P1" location="Onsite_Goto" display="On-Site"/>
    <hyperlink ref="H29" location="Colo_TotalServersNeeded" display="Total Number of Servers"/>
    <hyperlink ref="F68" location="Colo_OSCostperServer" display="OS Cost per Server"/>
    <hyperlink ref="C1" r:id="rId1" display="AWS Economics Center"/>
    <hyperlink ref="D1" r:id="rId2" display="User Guide"/>
  </hyperlinks>
  <printOptions/>
  <pageMargins left="0.7" right="0.7" top="0.75" bottom="0.75" header="0.3" footer="0.3"/>
  <pageSetup fitToHeight="2" fitToWidth="1" horizontalDpi="600" verticalDpi="600" orientation="portrait" scale="62" r:id="rId4"/>
  <headerFooter>
    <oddFooter>&amp;L(C) Copyright 2009, Amazon Web Services, All Rights Reserved</oddFooter>
  </headerFooter>
  <drawing r:id="rId3"/>
</worksheet>
</file>

<file path=xl/worksheets/sheet5.xml><?xml version="1.0" encoding="utf-8"?>
<worksheet xmlns="http://schemas.openxmlformats.org/spreadsheetml/2006/main" xmlns:r="http://schemas.openxmlformats.org/officeDocument/2006/relationships">
  <sheetPr codeName="Sheet13">
    <pageSetUpPr fitToPage="1"/>
  </sheetPr>
  <dimension ref="A1:AB215"/>
  <sheetViews>
    <sheetView showGridLines="0" zoomScale="115" zoomScaleNormal="115" zoomScalePageLayoutView="0" workbookViewId="0" topLeftCell="A1">
      <pane ySplit="1" topLeftCell="A2" activePane="bottomLeft" state="frozen"/>
      <selection pane="topLeft" activeCell="Q1" activeCellId="6" sqref="E1:E16384 G1:G16384 I1:I16384 K1:K16384 M1:M16384 O1:O16384 Q1:Q16384"/>
      <selection pane="bottomLeft" activeCell="A2" sqref="A2"/>
    </sheetView>
  </sheetViews>
  <sheetFormatPr defaultColWidth="9.140625" defaultRowHeight="15"/>
  <cols>
    <col min="1" max="2" width="3.140625" style="1" customWidth="1"/>
    <col min="3" max="3" width="32.57421875" style="1" customWidth="1"/>
    <col min="4" max="4" width="11.8515625" style="1" customWidth="1"/>
    <col min="5" max="5" width="3.28125" style="1" customWidth="1"/>
    <col min="6" max="6" width="11.8515625" style="1" customWidth="1"/>
    <col min="7" max="7" width="3.28125" style="1" customWidth="1"/>
    <col min="8" max="8" width="11.8515625" style="1" customWidth="1"/>
    <col min="9" max="9" width="3.28125" style="1" customWidth="1"/>
    <col min="10" max="10" width="11.8515625" style="1" customWidth="1"/>
    <col min="11" max="11" width="3.28125" style="1" customWidth="1"/>
    <col min="12" max="12" width="11.8515625" style="1" customWidth="1"/>
    <col min="13" max="13" width="3.28125" style="1" customWidth="1"/>
    <col min="14" max="14" width="11.8515625" style="1" customWidth="1"/>
    <col min="15" max="15" width="3.28125" style="1" customWidth="1"/>
    <col min="16" max="16" width="11.8515625" style="7" customWidth="1"/>
    <col min="17" max="17" width="3.28125" style="16" customWidth="1"/>
    <col min="18" max="18" width="12.00390625" style="16" customWidth="1"/>
    <col min="19" max="19" width="1.57421875" style="4" customWidth="1"/>
    <col min="20" max="20" width="1.7109375" style="1" customWidth="1"/>
    <col min="21" max="21" width="14.421875" style="1" bestFit="1" customWidth="1"/>
    <col min="22" max="16384" width="9.140625" style="1" customWidth="1"/>
  </cols>
  <sheetData>
    <row r="1" spans="3:16" ht="13.5" thickBot="1">
      <c r="C1" s="398" t="s">
        <v>373</v>
      </c>
      <c r="D1" s="412" t="s">
        <v>372</v>
      </c>
      <c r="H1" s="238"/>
      <c r="J1" s="122" t="s">
        <v>327</v>
      </c>
      <c r="K1" s="7"/>
      <c r="L1" s="122" t="s">
        <v>271</v>
      </c>
      <c r="M1" s="7"/>
      <c r="N1" s="122" t="s">
        <v>272</v>
      </c>
      <c r="O1" s="7"/>
      <c r="P1" s="237" t="s">
        <v>273</v>
      </c>
    </row>
    <row r="2" spans="2:17" ht="12.75">
      <c r="B2" s="67"/>
      <c r="C2" s="2"/>
      <c r="D2" s="2"/>
      <c r="E2" s="2"/>
      <c r="F2" s="2"/>
      <c r="G2" s="2"/>
      <c r="H2" s="2"/>
      <c r="I2" s="2"/>
      <c r="J2" s="2"/>
      <c r="K2" s="2"/>
      <c r="L2" s="2"/>
      <c r="M2" s="2"/>
      <c r="N2" s="2"/>
      <c r="O2" s="2"/>
      <c r="P2" s="30"/>
      <c r="Q2" s="153"/>
    </row>
    <row r="3" spans="1:24" s="4" customFormat="1" ht="21">
      <c r="A3" s="1"/>
      <c r="B3" s="5"/>
      <c r="C3" s="401" t="s">
        <v>127</v>
      </c>
      <c r="Q3" s="154"/>
      <c r="R3" s="16"/>
      <c r="T3" s="1"/>
      <c r="U3" s="1"/>
      <c r="V3" s="1"/>
      <c r="W3" s="1"/>
      <c r="X3" s="1"/>
    </row>
    <row r="4" spans="1:24" s="4" customFormat="1" ht="15.75">
      <c r="A4" s="1"/>
      <c r="B4" s="5"/>
      <c r="C4" s="103" t="s">
        <v>56</v>
      </c>
      <c r="P4" s="7"/>
      <c r="Q4" s="154"/>
      <c r="R4" s="16"/>
      <c r="T4" s="1"/>
      <c r="U4" s="1"/>
      <c r="V4" s="1"/>
      <c r="W4" s="1"/>
      <c r="X4" s="1"/>
    </row>
    <row r="5" spans="1:24" s="4" customFormat="1" ht="12.75" customHeight="1">
      <c r="A5" s="1"/>
      <c r="B5" s="5"/>
      <c r="C5" s="4" t="s">
        <v>282</v>
      </c>
      <c r="D5" s="16"/>
      <c r="E5" s="6"/>
      <c r="F5" s="16"/>
      <c r="G5" s="17"/>
      <c r="H5" s="6"/>
      <c r="L5" s="10"/>
      <c r="N5" s="22"/>
      <c r="Q5" s="53"/>
      <c r="R5" s="6"/>
      <c r="T5" s="1"/>
      <c r="U5" s="1"/>
      <c r="V5" s="1"/>
      <c r="W5" s="1"/>
      <c r="X5" s="1"/>
    </row>
    <row r="6" spans="1:28" s="4" customFormat="1" ht="15.75">
      <c r="A6" s="1"/>
      <c r="B6" s="5"/>
      <c r="C6" s="104" t="s">
        <v>233</v>
      </c>
      <c r="D6" s="37"/>
      <c r="E6" s="38"/>
      <c r="F6" s="37"/>
      <c r="G6" s="38"/>
      <c r="H6" s="37"/>
      <c r="I6" s="38"/>
      <c r="J6" s="37"/>
      <c r="K6" s="38"/>
      <c r="L6" s="37"/>
      <c r="M6" s="39"/>
      <c r="N6" s="39"/>
      <c r="O6" s="39"/>
      <c r="P6" s="38"/>
      <c r="Q6" s="155"/>
      <c r="R6" s="56"/>
      <c r="T6" s="1"/>
      <c r="U6" s="1"/>
      <c r="V6" s="1"/>
      <c r="W6" s="1"/>
      <c r="X6" s="1"/>
      <c r="AB6" s="15" t="s">
        <v>8</v>
      </c>
    </row>
    <row r="7" spans="1:24" s="4" customFormat="1" ht="12.75">
      <c r="A7" s="1"/>
      <c r="B7" s="5"/>
      <c r="C7" s="3"/>
      <c r="D7" s="3"/>
      <c r="Q7" s="54"/>
      <c r="R7" s="16"/>
      <c r="T7" s="1"/>
      <c r="U7" s="1"/>
      <c r="V7" s="1"/>
      <c r="W7" s="1"/>
      <c r="X7" s="1"/>
    </row>
    <row r="8" spans="1:24" s="4" customFormat="1" ht="12.75">
      <c r="A8" s="1"/>
      <c r="B8" s="5"/>
      <c r="C8" s="3"/>
      <c r="D8" s="47" t="s">
        <v>82</v>
      </c>
      <c r="E8" s="11" t="s">
        <v>81</v>
      </c>
      <c r="Q8" s="54"/>
      <c r="R8" s="16"/>
      <c r="T8" s="1"/>
      <c r="U8" s="1"/>
      <c r="V8" s="1"/>
      <c r="W8" s="1"/>
      <c r="X8" s="1"/>
    </row>
    <row r="9" spans="1:24" s="4" customFormat="1" ht="12.75">
      <c r="A9" s="1"/>
      <c r="B9" s="5"/>
      <c r="C9" s="233" t="s">
        <v>75</v>
      </c>
      <c r="D9" s="85">
        <f>D27</f>
        <v>121000</v>
      </c>
      <c r="E9" s="4" t="str">
        <f>"Purchase price of "&amp;FIXED(H39,0,0)&amp;" total servers ($"&amp;FIXED(D26,0,0)&amp;") divided by useful life of "&amp;N31&amp;" years"</f>
        <v>Purchase price of 1,000 total servers ($363,000) divided by useful life of 3 years</v>
      </c>
      <c r="Q9" s="54"/>
      <c r="R9" s="16"/>
      <c r="T9" s="1"/>
      <c r="U9" s="1"/>
      <c r="V9" s="1"/>
      <c r="W9" s="1"/>
      <c r="X9" s="1"/>
    </row>
    <row r="10" spans="1:24" s="4" customFormat="1" ht="12.75">
      <c r="A10" s="1"/>
      <c r="B10" s="5"/>
      <c r="C10" s="233" t="s">
        <v>76</v>
      </c>
      <c r="D10" s="8">
        <f>D47</f>
        <v>24200</v>
      </c>
      <c r="E10" s="4" t="str">
        <f>"Purchase price of "&amp;FIXED(H39,0,0)&amp;" total servers ($"&amp;FIXED(D26,0,0)&amp;") multiplied by "&amp;F51*100&amp;"% divided by useful life of "&amp;J51&amp;" years"</f>
        <v>Purchase price of 1,000 total servers ($363,000) multiplied by 20% divided by useful life of 3 years</v>
      </c>
      <c r="Q10" s="54"/>
      <c r="R10" s="16"/>
      <c r="T10" s="1"/>
      <c r="U10" s="1"/>
      <c r="V10" s="1"/>
      <c r="W10" s="1"/>
      <c r="X10" s="1"/>
    </row>
    <row r="11" spans="1:24" s="4" customFormat="1" ht="12.75">
      <c r="A11" s="1"/>
      <c r="B11" s="5"/>
      <c r="C11" s="233" t="s">
        <v>77</v>
      </c>
      <c r="D11" s="85">
        <f>D56</f>
        <v>43560</v>
      </c>
      <c r="E11" s="4" t="str">
        <f>"Purchase price of server and network hardware ($"&amp;FIXED(D26+D46,0,0)&amp;") multipled by "&amp;J60*100&amp;"% annual maintenance fee"</f>
        <v>Purchase price of server and network hardware ($435,600) multipled by 10% annual maintenance fee</v>
      </c>
      <c r="Q11" s="54"/>
      <c r="R11" s="16"/>
      <c r="T11" s="1"/>
      <c r="U11" s="1"/>
      <c r="V11" s="1"/>
      <c r="W11" s="1"/>
      <c r="X11" s="1"/>
    </row>
    <row r="12" spans="1:24" s="4" customFormat="1" ht="12.75">
      <c r="A12" s="1"/>
      <c r="B12" s="5"/>
      <c r="C12" s="233" t="s">
        <v>199</v>
      </c>
      <c r="D12" s="85">
        <f>D66</f>
        <v>0</v>
      </c>
      <c r="E12" s="4" t="str">
        <f>"Purchase price of "&amp;Main!C99&amp;" OS (@ $"&amp;FIXED(F74,0,0)&amp;" per server) multiplied by "&amp;FIXED(D74,0,0)&amp;" servers divided by useful life of "&amp;FIXED(J74,0,0)&amp;" years"</f>
        <v>Purchase price of Linux/Unix OS (@ $0 per server) multiplied by 1,000 servers divided by useful life of 3 years</v>
      </c>
      <c r="Q12" s="54"/>
      <c r="R12" s="16"/>
      <c r="T12" s="1"/>
      <c r="U12" s="1"/>
      <c r="V12" s="1"/>
      <c r="W12" s="1"/>
      <c r="X12" s="1"/>
    </row>
    <row r="13" spans="1:24" s="4" customFormat="1" ht="12.75">
      <c r="A13" s="1"/>
      <c r="B13" s="5"/>
      <c r="C13" s="233" t="s">
        <v>78</v>
      </c>
      <c r="D13" s="85">
        <f>D81</f>
        <v>147420</v>
      </c>
      <c r="E13" s="4" t="str">
        <f>"Assumes power/cooling for "&amp;FIXED(H39,0,0)&amp;" servers, with a data center PUE of "&amp;FIXED(F96,1,0)&amp;" and electricity price of $"&amp;N96&amp;" per kW hour"</f>
        <v>Assumes power/cooling for 1,000 servers, with a data center PUE of 2.5 and electricity price of $0.09 per kW hour</v>
      </c>
      <c r="Q13" s="54"/>
      <c r="R13" s="16"/>
      <c r="T13" s="1"/>
      <c r="U13" s="1"/>
      <c r="V13" s="1"/>
      <c r="W13" s="1"/>
      <c r="X13" s="1"/>
    </row>
    <row r="14" spans="1:24" s="4" customFormat="1" ht="12.75">
      <c r="A14" s="1"/>
      <c r="B14" s="5"/>
      <c r="C14" s="233" t="s">
        <v>195</v>
      </c>
      <c r="D14" s="85">
        <f>D104+D150</f>
        <v>128200</v>
      </c>
      <c r="E14" s="4" t="str">
        <f>"Assumes $"&amp;FIXED(J108,0,0)&amp;" per kW of redundant IT power and $300 per sq ft of space divided by useful life of "&amp;N108&amp;" years"</f>
        <v>Assumes $23,000 per kW of redundant IT power and $300 per sq ft of space divided by useful life of 15 years</v>
      </c>
      <c r="Q14" s="54"/>
      <c r="R14" s="16"/>
      <c r="T14" s="1"/>
      <c r="U14" s="1"/>
      <c r="V14" s="1"/>
      <c r="W14" s="1"/>
      <c r="X14" s="1"/>
    </row>
    <row r="15" spans="1:24" s="4" customFormat="1" ht="12.75">
      <c r="A15" s="1"/>
      <c r="B15" s="5"/>
      <c r="C15" s="233" t="s">
        <v>79</v>
      </c>
      <c r="D15" s="85">
        <f>D160</f>
        <v>2100000</v>
      </c>
      <c r="E15" s="4" t="str">
        <f>"Assumes 1 FTE per "&amp;FIXED(F164,0,0)&amp;" servers at an annual salary of $"&amp;FIXED(J164,0,0)&amp;" per year"</f>
        <v>Assumes 1 FTE per 50 servers at an annual salary of $105,000 per year</v>
      </c>
      <c r="Q15" s="54"/>
      <c r="R15" s="16"/>
      <c r="T15" s="1"/>
      <c r="U15" s="1"/>
      <c r="V15" s="1"/>
      <c r="W15" s="1"/>
      <c r="X15" s="1"/>
    </row>
    <row r="16" spans="1:24" s="4" customFormat="1" ht="12.75">
      <c r="A16" s="1"/>
      <c r="B16" s="5"/>
      <c r="C16" s="233" t="s">
        <v>231</v>
      </c>
      <c r="D16" s="86">
        <f>D169</f>
        <v>8253.551912568306</v>
      </c>
      <c r="E16" s="4" t="str">
        <f>"Assumes peak monthly data transfer of "&amp;FIXED(L173,1)&amp;" mbps charged at $"&amp;F176&amp;" per Mb per month"</f>
        <v>Assumes peak monthly data transfer of 27.5 mbps charged at $25 per Mb per month</v>
      </c>
      <c r="Q16" s="54"/>
      <c r="R16" s="16"/>
      <c r="T16" s="1"/>
      <c r="U16" s="1"/>
      <c r="V16" s="1"/>
      <c r="W16" s="1"/>
      <c r="X16" s="1"/>
    </row>
    <row r="17" spans="1:24" s="4" customFormat="1" ht="12.75">
      <c r="A17" s="1"/>
      <c r="B17" s="5"/>
      <c r="C17" s="3"/>
      <c r="D17" s="84">
        <f>SUM(D9:D16)</f>
        <v>2572633.5519125685</v>
      </c>
      <c r="E17" s="3"/>
      <c r="Q17" s="54"/>
      <c r="R17" s="16"/>
      <c r="T17" s="1"/>
      <c r="U17" s="1"/>
      <c r="V17" s="1"/>
      <c r="W17" s="1"/>
      <c r="X17" s="1"/>
    </row>
    <row r="18" spans="1:24" s="4" customFormat="1" ht="12.75">
      <c r="A18" s="1"/>
      <c r="B18" s="5"/>
      <c r="C18" s="3"/>
      <c r="D18" s="3"/>
      <c r="E18" s="3"/>
      <c r="Q18" s="54"/>
      <c r="R18" s="16"/>
      <c r="T18" s="1"/>
      <c r="U18" s="1"/>
      <c r="V18" s="1"/>
      <c r="W18" s="1"/>
      <c r="X18" s="1"/>
    </row>
    <row r="19" spans="1:24" s="4" customFormat="1" ht="12.75">
      <c r="A19" s="1"/>
      <c r="B19" s="5"/>
      <c r="C19" s="18"/>
      <c r="D19" s="24"/>
      <c r="E19" s="176" t="s">
        <v>151</v>
      </c>
      <c r="G19" s="7"/>
      <c r="H19" s="24"/>
      <c r="I19" s="7"/>
      <c r="J19" s="24"/>
      <c r="K19" s="7"/>
      <c r="L19" s="24"/>
      <c r="P19" s="7"/>
      <c r="Q19" s="154"/>
      <c r="R19" s="16"/>
      <c r="T19" s="1"/>
      <c r="U19" s="1"/>
      <c r="V19" s="1"/>
      <c r="W19" s="1"/>
      <c r="X19" s="1"/>
    </row>
    <row r="20" spans="1:24" s="4" customFormat="1" ht="12.75">
      <c r="A20" s="1"/>
      <c r="B20" s="5"/>
      <c r="C20" s="18"/>
      <c r="D20" s="24"/>
      <c r="E20" s="7"/>
      <c r="F20" s="24"/>
      <c r="G20" s="7"/>
      <c r="H20" s="24"/>
      <c r="I20" s="7"/>
      <c r="J20" s="24"/>
      <c r="K20" s="7"/>
      <c r="L20" s="24"/>
      <c r="P20" s="7"/>
      <c r="Q20" s="154"/>
      <c r="R20" s="16"/>
      <c r="T20" s="1"/>
      <c r="U20" s="1"/>
      <c r="V20" s="1"/>
      <c r="W20" s="1"/>
      <c r="X20" s="1"/>
    </row>
    <row r="21" spans="1:24" s="4" customFormat="1" ht="15.75">
      <c r="A21" s="1"/>
      <c r="B21" s="5"/>
      <c r="C21" s="104" t="s">
        <v>100</v>
      </c>
      <c r="D21" s="37"/>
      <c r="E21" s="38"/>
      <c r="F21" s="37"/>
      <c r="G21" s="38"/>
      <c r="H21" s="37"/>
      <c r="I21" s="38"/>
      <c r="J21" s="37"/>
      <c r="K21" s="38"/>
      <c r="L21" s="37"/>
      <c r="M21" s="39"/>
      <c r="N21" s="39"/>
      <c r="O21" s="39"/>
      <c r="P21" s="38"/>
      <c r="Q21" s="155"/>
      <c r="R21" s="56"/>
      <c r="T21" s="1"/>
      <c r="U21" s="1"/>
      <c r="V21" s="1"/>
      <c r="W21" s="1"/>
      <c r="X21" s="1"/>
    </row>
    <row r="22" spans="1:24" s="4" customFormat="1" ht="12.75">
      <c r="A22" s="1"/>
      <c r="B22" s="5"/>
      <c r="C22" s="18"/>
      <c r="D22" s="24"/>
      <c r="E22" s="7"/>
      <c r="F22" s="24"/>
      <c r="G22" s="7"/>
      <c r="H22" s="24"/>
      <c r="I22" s="7"/>
      <c r="J22" s="24"/>
      <c r="K22" s="7"/>
      <c r="L22" s="24"/>
      <c r="P22" s="7"/>
      <c r="Q22" s="154"/>
      <c r="R22" s="16"/>
      <c r="T22" s="1"/>
      <c r="U22" s="1"/>
      <c r="V22" s="1"/>
      <c r="W22" s="1"/>
      <c r="X22" s="1"/>
    </row>
    <row r="23" spans="1:24" s="4" customFormat="1" ht="12.75" customHeight="1">
      <c r="A23" s="1"/>
      <c r="B23" s="5"/>
      <c r="D23" s="6"/>
      <c r="E23" s="6"/>
      <c r="F23" s="10"/>
      <c r="G23" s="17"/>
      <c r="H23" s="13"/>
      <c r="I23" s="16"/>
      <c r="J23" s="10"/>
      <c r="K23" s="16"/>
      <c r="L23" s="6"/>
      <c r="M23" s="17"/>
      <c r="N23" s="217" t="s">
        <v>256</v>
      </c>
      <c r="O23" s="216" t="s">
        <v>257</v>
      </c>
      <c r="P23" s="6"/>
      <c r="Q23" s="53"/>
      <c r="R23" s="6"/>
      <c r="T23" s="1"/>
      <c r="U23" s="1"/>
      <c r="V23" s="1"/>
      <c r="W23" s="1"/>
      <c r="X23" s="1"/>
    </row>
    <row r="24" spans="1:24" s="4" customFormat="1" ht="12.75" customHeight="1" thickBot="1">
      <c r="A24" s="1"/>
      <c r="B24" s="5"/>
      <c r="C24" s="123" t="s">
        <v>144</v>
      </c>
      <c r="D24" s="71"/>
      <c r="E24" s="71"/>
      <c r="F24" s="72"/>
      <c r="G24" s="73"/>
      <c r="H24" s="74"/>
      <c r="I24" s="33"/>
      <c r="J24" s="72"/>
      <c r="K24" s="33"/>
      <c r="L24" s="71"/>
      <c r="M24" s="73"/>
      <c r="N24" s="71"/>
      <c r="O24" s="73"/>
      <c r="P24" s="71"/>
      <c r="Q24" s="53"/>
      <c r="R24" s="6"/>
      <c r="T24" s="1"/>
      <c r="U24" s="1"/>
      <c r="V24" s="1"/>
      <c r="W24" s="1"/>
      <c r="X24" s="1"/>
    </row>
    <row r="25" spans="1:24" s="4" customFormat="1" ht="12.75" customHeight="1">
      <c r="A25" s="1"/>
      <c r="B25" s="5"/>
      <c r="C25" s="92"/>
      <c r="D25" s="6"/>
      <c r="E25" s="6"/>
      <c r="F25" s="10"/>
      <c r="G25" s="17"/>
      <c r="H25" s="13"/>
      <c r="I25" s="16"/>
      <c r="J25" s="10"/>
      <c r="K25" s="16"/>
      <c r="L25" s="6"/>
      <c r="M25" s="17"/>
      <c r="N25" s="6"/>
      <c r="O25" s="17"/>
      <c r="P25" s="6"/>
      <c r="Q25" s="53"/>
      <c r="R25" s="6"/>
      <c r="T25" s="1"/>
      <c r="U25" s="1"/>
      <c r="V25" s="1"/>
      <c r="W25" s="1"/>
      <c r="X25" s="1"/>
    </row>
    <row r="26" spans="1:24" s="4" customFormat="1" ht="12.75" customHeight="1">
      <c r="A26" s="1"/>
      <c r="B26" s="5"/>
      <c r="C26" s="11" t="s">
        <v>21</v>
      </c>
      <c r="D26" s="35">
        <f>L39</f>
        <v>363000</v>
      </c>
      <c r="E26" s="78"/>
      <c r="F26" s="4" t="s">
        <v>23</v>
      </c>
      <c r="G26" s="27"/>
      <c r="H26" s="35"/>
      <c r="I26" s="40"/>
      <c r="J26" s="23"/>
      <c r="K26" s="16"/>
      <c r="L26" s="6"/>
      <c r="M26" s="17"/>
      <c r="N26" s="6"/>
      <c r="O26" s="17"/>
      <c r="P26" s="6"/>
      <c r="Q26" s="53"/>
      <c r="R26" s="6"/>
      <c r="T26" s="1"/>
      <c r="U26" s="1"/>
      <c r="V26" s="1"/>
      <c r="W26" s="1"/>
      <c r="X26" s="1"/>
    </row>
    <row r="27" spans="1:24" s="4" customFormat="1" ht="12.75" customHeight="1">
      <c r="A27" s="1"/>
      <c r="B27" s="5"/>
      <c r="C27" s="93" t="s">
        <v>22</v>
      </c>
      <c r="D27" s="35">
        <f>P39</f>
        <v>121000</v>
      </c>
      <c r="E27" s="78"/>
      <c r="F27" s="185" t="s">
        <v>58</v>
      </c>
      <c r="G27" s="27"/>
      <c r="H27" s="35"/>
      <c r="I27" s="40"/>
      <c r="J27" s="23"/>
      <c r="K27" s="16"/>
      <c r="L27" s="6"/>
      <c r="M27" s="17"/>
      <c r="N27" s="6"/>
      <c r="O27" s="17"/>
      <c r="P27" s="6"/>
      <c r="Q27" s="53"/>
      <c r="R27" s="6"/>
      <c r="T27" s="1"/>
      <c r="U27" s="1"/>
      <c r="V27" s="1"/>
      <c r="W27" s="1"/>
      <c r="X27" s="1"/>
    </row>
    <row r="28" spans="1:24" s="4" customFormat="1" ht="12.75" customHeight="1">
      <c r="A28" s="1"/>
      <c r="B28" s="5"/>
      <c r="D28" s="6"/>
      <c r="E28" s="6"/>
      <c r="F28" s="10"/>
      <c r="G28" s="17"/>
      <c r="H28" s="13"/>
      <c r="I28" s="16"/>
      <c r="J28" s="10"/>
      <c r="K28" s="16"/>
      <c r="L28" s="6"/>
      <c r="M28" s="17"/>
      <c r="N28" s="6"/>
      <c r="O28" s="17"/>
      <c r="P28" s="6"/>
      <c r="Q28" s="53"/>
      <c r="R28" s="6"/>
      <c r="T28" s="1"/>
      <c r="U28" s="1"/>
      <c r="V28" s="1"/>
      <c r="W28" s="1"/>
      <c r="X28" s="1"/>
    </row>
    <row r="29" spans="1:24" s="4" customFormat="1" ht="12.75" customHeight="1">
      <c r="A29" s="1"/>
      <c r="B29" s="5"/>
      <c r="C29" s="111"/>
      <c r="D29" s="112"/>
      <c r="E29" s="112"/>
      <c r="F29" s="116"/>
      <c r="G29" s="113"/>
      <c r="H29" s="114"/>
      <c r="I29" s="115"/>
      <c r="J29" s="116"/>
      <c r="K29" s="115"/>
      <c r="L29" s="112"/>
      <c r="M29" s="113"/>
      <c r="N29" s="112"/>
      <c r="O29" s="113"/>
      <c r="P29" s="117"/>
      <c r="Q29" s="53"/>
      <c r="R29" s="6"/>
      <c r="T29" s="1"/>
      <c r="U29" s="1"/>
      <c r="V29" s="1"/>
      <c r="W29" s="1"/>
      <c r="X29" s="1"/>
    </row>
    <row r="30" spans="1:24" s="4" customFormat="1" ht="25.5">
      <c r="A30" s="1"/>
      <c r="B30" s="5"/>
      <c r="C30" s="159"/>
      <c r="D30" s="60" t="s">
        <v>242</v>
      </c>
      <c r="E30" s="42" t="s">
        <v>13</v>
      </c>
      <c r="F30" s="60" t="s">
        <v>243</v>
      </c>
      <c r="G30" s="4" t="s">
        <v>29</v>
      </c>
      <c r="H30" s="194" t="s">
        <v>30</v>
      </c>
      <c r="I30" s="4" t="s">
        <v>18</v>
      </c>
      <c r="J30" s="194" t="s">
        <v>9</v>
      </c>
      <c r="K30" s="158" t="s">
        <v>29</v>
      </c>
      <c r="L30" s="61" t="s">
        <v>83</v>
      </c>
      <c r="N30" s="194" t="s">
        <v>86</v>
      </c>
      <c r="P30" s="196" t="s">
        <v>246</v>
      </c>
      <c r="Q30" s="156"/>
      <c r="R30" s="32"/>
      <c r="T30" s="1"/>
      <c r="U30" s="1"/>
      <c r="V30" s="1"/>
      <c r="W30" s="1"/>
      <c r="X30" s="1"/>
    </row>
    <row r="31" spans="1:24" s="4" customFormat="1" ht="12.75">
      <c r="A31" s="1"/>
      <c r="B31" s="5"/>
      <c r="C31" s="182" t="s">
        <v>336</v>
      </c>
      <c r="D31" s="6">
        <f>Main!D29</f>
        <v>300</v>
      </c>
      <c r="E31" s="6"/>
      <c r="F31" s="6">
        <f>Main!D39</f>
        <v>700</v>
      </c>
      <c r="G31" s="17"/>
      <c r="H31" s="6">
        <f aca="true" t="shared" si="0" ref="H31:H38">D31+F31</f>
        <v>1000</v>
      </c>
      <c r="J31" s="332">
        <v>363</v>
      </c>
      <c r="L31" s="13">
        <f aca="true" t="shared" si="1" ref="L31:L38">H31*J31</f>
        <v>363000</v>
      </c>
      <c r="N31" s="461">
        <v>3</v>
      </c>
      <c r="P31" s="97">
        <f aca="true" t="shared" si="2" ref="P31:P38">L31/$N$31</f>
        <v>121000</v>
      </c>
      <c r="Q31" s="53"/>
      <c r="R31" s="6"/>
      <c r="T31" s="1"/>
      <c r="U31" s="1"/>
      <c r="V31" s="1"/>
      <c r="W31" s="1"/>
      <c r="X31" s="1"/>
    </row>
    <row r="32" spans="1:24" s="4" customFormat="1" ht="12.75" customHeight="1">
      <c r="A32" s="1"/>
      <c r="B32" s="5"/>
      <c r="C32" s="182" t="s">
        <v>337</v>
      </c>
      <c r="D32" s="6">
        <f>Main!D30</f>
        <v>0</v>
      </c>
      <c r="E32" s="6"/>
      <c r="F32" s="6">
        <f>Main!D40</f>
        <v>0</v>
      </c>
      <c r="G32" s="17"/>
      <c r="H32" s="6">
        <f t="shared" si="0"/>
        <v>0</v>
      </c>
      <c r="J32" s="332">
        <v>1452</v>
      </c>
      <c r="L32" s="13">
        <f t="shared" si="1"/>
        <v>0</v>
      </c>
      <c r="N32" s="462"/>
      <c r="P32" s="97">
        <f t="shared" si="2"/>
        <v>0</v>
      </c>
      <c r="Q32" s="53"/>
      <c r="R32" s="6"/>
      <c r="T32" s="1"/>
      <c r="U32" s="1"/>
      <c r="V32" s="1"/>
      <c r="W32" s="1"/>
      <c r="X32" s="1"/>
    </row>
    <row r="33" spans="1:24" s="4" customFormat="1" ht="12.75" customHeight="1">
      <c r="A33" s="1"/>
      <c r="B33" s="5"/>
      <c r="C33" s="182" t="s">
        <v>338</v>
      </c>
      <c r="D33" s="6">
        <f>Main!D31</f>
        <v>0</v>
      </c>
      <c r="E33" s="6"/>
      <c r="F33" s="6">
        <f>Main!D41</f>
        <v>0</v>
      </c>
      <c r="G33" s="17"/>
      <c r="H33" s="6">
        <f t="shared" si="0"/>
        <v>0</v>
      </c>
      <c r="J33" s="332">
        <v>2903</v>
      </c>
      <c r="L33" s="13">
        <f t="shared" si="1"/>
        <v>0</v>
      </c>
      <c r="N33" s="462"/>
      <c r="P33" s="97">
        <f t="shared" si="2"/>
        <v>0</v>
      </c>
      <c r="Q33" s="53"/>
      <c r="R33" s="6"/>
      <c r="T33" s="1"/>
      <c r="U33" s="1"/>
      <c r="V33" s="1"/>
      <c r="W33" s="1"/>
      <c r="X33" s="1"/>
    </row>
    <row r="34" spans="1:24" s="4" customFormat="1" ht="12.75" customHeight="1">
      <c r="A34" s="1"/>
      <c r="B34" s="5"/>
      <c r="C34" s="182" t="s">
        <v>377</v>
      </c>
      <c r="D34" s="6">
        <f>Main!D32</f>
        <v>0</v>
      </c>
      <c r="E34" s="6"/>
      <c r="F34" s="6">
        <f>Main!D42</f>
        <v>0</v>
      </c>
      <c r="G34" s="17"/>
      <c r="H34" s="6">
        <f>D34+F34</f>
        <v>0</v>
      </c>
      <c r="J34" s="332">
        <v>3237</v>
      </c>
      <c r="L34" s="13">
        <f t="shared" si="1"/>
        <v>0</v>
      </c>
      <c r="N34" s="462"/>
      <c r="P34" s="97">
        <f t="shared" si="2"/>
        <v>0</v>
      </c>
      <c r="Q34" s="53"/>
      <c r="R34" s="6"/>
      <c r="T34" s="1"/>
      <c r="U34" s="1"/>
      <c r="V34" s="1"/>
      <c r="W34" s="1"/>
      <c r="X34" s="1"/>
    </row>
    <row r="35" spans="1:24" s="4" customFormat="1" ht="12.75" customHeight="1">
      <c r="A35" s="1"/>
      <c r="B35" s="5"/>
      <c r="C35" s="182" t="s">
        <v>334</v>
      </c>
      <c r="D35" s="6">
        <f>Main!D33</f>
        <v>0</v>
      </c>
      <c r="E35" s="6"/>
      <c r="F35" s="6">
        <f>Main!D43</f>
        <v>0</v>
      </c>
      <c r="G35" s="17"/>
      <c r="H35" s="6">
        <f t="shared" si="0"/>
        <v>0</v>
      </c>
      <c r="J35" s="332">
        <v>6473</v>
      </c>
      <c r="L35" s="13">
        <f t="shared" si="1"/>
        <v>0</v>
      </c>
      <c r="N35" s="462"/>
      <c r="P35" s="97">
        <f t="shared" si="2"/>
        <v>0</v>
      </c>
      <c r="Q35" s="53"/>
      <c r="R35" s="6"/>
      <c r="T35" s="1"/>
      <c r="U35" s="1"/>
      <c r="V35" s="1"/>
      <c r="W35" s="1"/>
      <c r="X35" s="1"/>
    </row>
    <row r="36" spans="1:24" s="4" customFormat="1" ht="12.75" customHeight="1">
      <c r="A36" s="1"/>
      <c r="B36" s="5"/>
      <c r="C36" s="182" t="s">
        <v>335</v>
      </c>
      <c r="D36" s="6">
        <f>Main!D34</f>
        <v>0</v>
      </c>
      <c r="E36" s="6"/>
      <c r="F36" s="6">
        <f>Main!D44</f>
        <v>0</v>
      </c>
      <c r="G36" s="17"/>
      <c r="H36" s="6">
        <f t="shared" si="0"/>
        <v>0</v>
      </c>
      <c r="J36" s="332">
        <v>12946</v>
      </c>
      <c r="L36" s="13">
        <f t="shared" si="1"/>
        <v>0</v>
      </c>
      <c r="N36" s="462"/>
      <c r="P36" s="97">
        <f t="shared" si="2"/>
        <v>0</v>
      </c>
      <c r="Q36" s="53"/>
      <c r="R36" s="6"/>
      <c r="T36" s="1"/>
      <c r="U36" s="1"/>
      <c r="V36" s="1"/>
      <c r="W36" s="1"/>
      <c r="X36" s="1"/>
    </row>
    <row r="37" spans="1:24" s="4" customFormat="1" ht="12.75" customHeight="1">
      <c r="A37" s="1"/>
      <c r="B37" s="5"/>
      <c r="C37" s="182" t="s">
        <v>339</v>
      </c>
      <c r="D37" s="6">
        <f>Main!D35</f>
        <v>0</v>
      </c>
      <c r="E37" s="6"/>
      <c r="F37" s="6">
        <f>Main!D45</f>
        <v>0</v>
      </c>
      <c r="G37" s="17"/>
      <c r="H37" s="6">
        <f t="shared" si="0"/>
        <v>0</v>
      </c>
      <c r="J37" s="332">
        <v>682</v>
      </c>
      <c r="L37" s="13">
        <f t="shared" si="1"/>
        <v>0</v>
      </c>
      <c r="N37" s="462"/>
      <c r="P37" s="97">
        <f t="shared" si="2"/>
        <v>0</v>
      </c>
      <c r="Q37" s="53"/>
      <c r="R37" s="6"/>
      <c r="T37" s="1"/>
      <c r="U37" s="1"/>
      <c r="V37" s="1"/>
      <c r="W37" s="1"/>
      <c r="X37" s="1"/>
    </row>
    <row r="38" spans="1:24" s="4" customFormat="1" ht="12.75" customHeight="1">
      <c r="A38" s="1"/>
      <c r="B38" s="5"/>
      <c r="C38" s="182" t="s">
        <v>340</v>
      </c>
      <c r="D38" s="6">
        <f>Main!D36</f>
        <v>0</v>
      </c>
      <c r="E38" s="6"/>
      <c r="F38" s="6">
        <f>Main!D46</f>
        <v>0</v>
      </c>
      <c r="G38" s="17"/>
      <c r="H38" s="44">
        <f t="shared" si="0"/>
        <v>0</v>
      </c>
      <c r="J38" s="332">
        <v>2726</v>
      </c>
      <c r="L38" s="34">
        <f t="shared" si="1"/>
        <v>0</v>
      </c>
      <c r="N38" s="463"/>
      <c r="P38" s="97">
        <f t="shared" si="2"/>
        <v>0</v>
      </c>
      <c r="Q38" s="53"/>
      <c r="R38" s="6"/>
      <c r="T38" s="1"/>
      <c r="U38" s="1"/>
      <c r="V38" s="1"/>
      <c r="W38" s="1"/>
      <c r="X38" s="1"/>
    </row>
    <row r="39" spans="1:24" s="4" customFormat="1" ht="12.75" customHeight="1">
      <c r="A39" s="1"/>
      <c r="B39" s="5"/>
      <c r="C39" s="96"/>
      <c r="D39" s="16"/>
      <c r="E39" s="6"/>
      <c r="F39" s="16"/>
      <c r="G39" s="17"/>
      <c r="H39" s="6">
        <f>SUM(H31:H38)</f>
        <v>1000</v>
      </c>
      <c r="J39" s="13"/>
      <c r="L39" s="124">
        <f>SUM(L31:L38)</f>
        <v>363000</v>
      </c>
      <c r="N39" s="22"/>
      <c r="P39" s="125">
        <f>SUM(P31:P38)</f>
        <v>121000</v>
      </c>
      <c r="Q39" s="53"/>
      <c r="R39" s="6"/>
      <c r="T39" s="1"/>
      <c r="U39" s="1"/>
      <c r="V39" s="1"/>
      <c r="W39" s="1"/>
      <c r="X39" s="1"/>
    </row>
    <row r="40" spans="1:24" s="4" customFormat="1" ht="12.75" customHeight="1">
      <c r="A40" s="1"/>
      <c r="B40" s="5"/>
      <c r="C40" s="96"/>
      <c r="D40" s="16"/>
      <c r="E40" s="6"/>
      <c r="F40" s="16"/>
      <c r="G40" s="17"/>
      <c r="H40" s="6"/>
      <c r="J40" s="13"/>
      <c r="L40" s="124"/>
      <c r="N40" s="22"/>
      <c r="P40" s="125"/>
      <c r="Q40" s="53"/>
      <c r="R40" s="6"/>
      <c r="T40" s="1"/>
      <c r="U40" s="1"/>
      <c r="V40" s="1"/>
      <c r="W40" s="1"/>
      <c r="X40" s="1"/>
    </row>
    <row r="41" spans="1:24" s="4" customFormat="1" ht="12.75" customHeight="1">
      <c r="A41" s="1"/>
      <c r="B41" s="5"/>
      <c r="C41" s="96"/>
      <c r="D41" s="4" t="s">
        <v>329</v>
      </c>
      <c r="E41" s="6"/>
      <c r="F41" s="16"/>
      <c r="G41" s="17"/>
      <c r="H41" s="6"/>
      <c r="J41" s="13"/>
      <c r="L41" s="13"/>
      <c r="N41" s="22"/>
      <c r="P41" s="107"/>
      <c r="Q41" s="53"/>
      <c r="R41" s="6"/>
      <c r="T41" s="1"/>
      <c r="U41" s="1"/>
      <c r="V41" s="1"/>
      <c r="W41" s="1"/>
      <c r="X41" s="1"/>
    </row>
    <row r="42" spans="1:24" s="4" customFormat="1" ht="12.75" customHeight="1">
      <c r="A42" s="1"/>
      <c r="B42" s="5"/>
      <c r="C42" s="98"/>
      <c r="D42" s="101"/>
      <c r="E42" s="44"/>
      <c r="F42" s="99"/>
      <c r="G42" s="100"/>
      <c r="H42" s="44"/>
      <c r="I42" s="101"/>
      <c r="J42" s="34"/>
      <c r="K42" s="101"/>
      <c r="L42" s="34"/>
      <c r="M42" s="101"/>
      <c r="N42" s="102"/>
      <c r="O42" s="101"/>
      <c r="P42" s="108"/>
      <c r="Q42" s="53"/>
      <c r="R42" s="6"/>
      <c r="T42" s="1"/>
      <c r="U42" s="1"/>
      <c r="V42" s="1"/>
      <c r="W42" s="1"/>
      <c r="X42" s="1"/>
    </row>
    <row r="43" spans="1:24" s="4" customFormat="1" ht="12.75" customHeight="1">
      <c r="A43" s="1"/>
      <c r="B43" s="5"/>
      <c r="C43" s="91"/>
      <c r="D43" s="16"/>
      <c r="E43" s="6"/>
      <c r="F43" s="16"/>
      <c r="G43" s="17"/>
      <c r="H43" s="6"/>
      <c r="J43" s="13"/>
      <c r="L43" s="13"/>
      <c r="N43" s="22"/>
      <c r="Q43" s="53"/>
      <c r="R43" s="6"/>
      <c r="T43" s="1"/>
      <c r="U43" s="1"/>
      <c r="V43" s="1"/>
      <c r="W43" s="1"/>
      <c r="X43" s="1"/>
    </row>
    <row r="44" spans="1:24" s="4" customFormat="1" ht="12.75" customHeight="1" thickBot="1">
      <c r="A44" s="1"/>
      <c r="B44" s="5"/>
      <c r="C44" s="123" t="s">
        <v>146</v>
      </c>
      <c r="D44" s="71"/>
      <c r="E44" s="71"/>
      <c r="F44" s="72"/>
      <c r="G44" s="73"/>
      <c r="H44" s="74"/>
      <c r="I44" s="33"/>
      <c r="J44" s="72"/>
      <c r="K44" s="33"/>
      <c r="L44" s="71"/>
      <c r="M44" s="73"/>
      <c r="N44" s="71"/>
      <c r="O44" s="73"/>
      <c r="P44" s="71"/>
      <c r="Q44" s="53"/>
      <c r="R44" s="6"/>
      <c r="T44" s="1"/>
      <c r="U44" s="1"/>
      <c r="V44" s="1"/>
      <c r="W44" s="1"/>
      <c r="X44" s="1"/>
    </row>
    <row r="45" spans="1:24" s="4" customFormat="1" ht="12.75" customHeight="1">
      <c r="A45" s="1"/>
      <c r="B45" s="5"/>
      <c r="C45" s="127"/>
      <c r="D45" s="6"/>
      <c r="E45" s="6"/>
      <c r="F45" s="10"/>
      <c r="G45" s="17"/>
      <c r="H45" s="13"/>
      <c r="I45" s="16"/>
      <c r="J45" s="10"/>
      <c r="K45" s="16"/>
      <c r="L45" s="6"/>
      <c r="M45" s="17"/>
      <c r="N45" s="6"/>
      <c r="O45" s="17"/>
      <c r="P45" s="6"/>
      <c r="Q45" s="53"/>
      <c r="R45" s="6"/>
      <c r="T45" s="1"/>
      <c r="U45" s="1"/>
      <c r="V45" s="1"/>
      <c r="W45" s="1"/>
      <c r="X45" s="1"/>
    </row>
    <row r="46" spans="1:24" s="4" customFormat="1" ht="12.75" customHeight="1">
      <c r="A46" s="1"/>
      <c r="B46" s="5"/>
      <c r="C46" s="11" t="s">
        <v>21</v>
      </c>
      <c r="D46" s="35">
        <f>H51</f>
        <v>72600</v>
      </c>
      <c r="E46" s="78"/>
      <c r="F46" s="185" t="s">
        <v>244</v>
      </c>
      <c r="G46" s="27"/>
      <c r="H46" s="35"/>
      <c r="I46" s="16"/>
      <c r="J46" s="10"/>
      <c r="K46" s="16"/>
      <c r="L46" s="6"/>
      <c r="M46" s="17"/>
      <c r="N46" s="6"/>
      <c r="O46" s="17"/>
      <c r="P46" s="6"/>
      <c r="Q46" s="53"/>
      <c r="R46" s="6"/>
      <c r="T46" s="1"/>
      <c r="U46" s="1"/>
      <c r="V46" s="1"/>
      <c r="W46" s="1"/>
      <c r="X46" s="1"/>
    </row>
    <row r="47" spans="1:24" s="4" customFormat="1" ht="12.75" customHeight="1">
      <c r="A47" s="1"/>
      <c r="B47" s="5"/>
      <c r="C47" s="93" t="s">
        <v>22</v>
      </c>
      <c r="D47" s="35">
        <f>L51</f>
        <v>24200</v>
      </c>
      <c r="E47" s="78"/>
      <c r="F47" s="185" t="s">
        <v>60</v>
      </c>
      <c r="G47" s="27"/>
      <c r="H47" s="35"/>
      <c r="I47" s="16"/>
      <c r="J47" s="10"/>
      <c r="K47" s="16"/>
      <c r="L47" s="6"/>
      <c r="M47" s="17"/>
      <c r="N47" s="6"/>
      <c r="O47" s="17"/>
      <c r="P47" s="6"/>
      <c r="Q47" s="53"/>
      <c r="R47" s="6"/>
      <c r="T47" s="1"/>
      <c r="U47" s="1"/>
      <c r="V47" s="1"/>
      <c r="W47" s="1"/>
      <c r="X47" s="1"/>
    </row>
    <row r="48" spans="1:24" s="4" customFormat="1" ht="12.75" customHeight="1">
      <c r="A48" s="1"/>
      <c r="B48" s="5"/>
      <c r="D48" s="13"/>
      <c r="E48" s="6"/>
      <c r="F48" s="43"/>
      <c r="G48" s="17"/>
      <c r="H48" s="13"/>
      <c r="I48" s="16"/>
      <c r="J48" s="10"/>
      <c r="K48" s="16"/>
      <c r="L48" s="6"/>
      <c r="M48" s="17"/>
      <c r="N48" s="6"/>
      <c r="O48" s="17"/>
      <c r="P48" s="6"/>
      <c r="Q48" s="53"/>
      <c r="R48" s="6"/>
      <c r="T48" s="1"/>
      <c r="U48" s="1"/>
      <c r="V48" s="1"/>
      <c r="W48" s="1"/>
      <c r="X48" s="1"/>
    </row>
    <row r="49" spans="1:24" s="4" customFormat="1" ht="12.75" customHeight="1">
      <c r="A49" s="1"/>
      <c r="B49" s="5"/>
      <c r="C49" s="111"/>
      <c r="D49" s="114"/>
      <c r="E49" s="112"/>
      <c r="F49" s="128"/>
      <c r="G49" s="113"/>
      <c r="H49" s="114"/>
      <c r="I49" s="115"/>
      <c r="J49" s="116"/>
      <c r="K49" s="115"/>
      <c r="L49" s="112"/>
      <c r="M49" s="113"/>
      <c r="N49" s="112"/>
      <c r="O49" s="113"/>
      <c r="P49" s="117"/>
      <c r="Q49" s="53"/>
      <c r="R49" s="6"/>
      <c r="T49" s="1"/>
      <c r="U49" s="1"/>
      <c r="V49" s="1"/>
      <c r="W49" s="1"/>
      <c r="X49" s="1"/>
    </row>
    <row r="50" spans="1:24" s="4" customFormat="1" ht="38.25">
      <c r="A50" s="1"/>
      <c r="B50" s="5"/>
      <c r="C50" s="129"/>
      <c r="D50" s="60" t="s">
        <v>88</v>
      </c>
      <c r="E50" s="4" t="s">
        <v>18</v>
      </c>
      <c r="F50" s="208" t="s">
        <v>108</v>
      </c>
      <c r="G50" s="6" t="s">
        <v>29</v>
      </c>
      <c r="H50" s="60" t="s">
        <v>89</v>
      </c>
      <c r="I50" s="132" t="s">
        <v>94</v>
      </c>
      <c r="J50" s="206" t="s">
        <v>87</v>
      </c>
      <c r="K50" s="16" t="s">
        <v>29</v>
      </c>
      <c r="L50" s="59" t="s">
        <v>245</v>
      </c>
      <c r="M50" s="17"/>
      <c r="N50" s="6"/>
      <c r="O50" s="17"/>
      <c r="P50" s="118"/>
      <c r="Q50" s="53"/>
      <c r="R50" s="6"/>
      <c r="T50" s="1"/>
      <c r="U50" s="1"/>
      <c r="V50" s="1"/>
      <c r="W50" s="1"/>
      <c r="X50" s="1"/>
    </row>
    <row r="51" spans="1:24" s="4" customFormat="1" ht="12.75" customHeight="1">
      <c r="A51" s="1"/>
      <c r="B51" s="5"/>
      <c r="C51" s="96" t="s">
        <v>20</v>
      </c>
      <c r="D51" s="8">
        <f>D26</f>
        <v>363000</v>
      </c>
      <c r="F51" s="314">
        <v>0.2</v>
      </c>
      <c r="G51" s="6"/>
      <c r="H51" s="8">
        <f>D51*F51</f>
        <v>72600</v>
      </c>
      <c r="I51" s="16"/>
      <c r="J51" s="333">
        <v>3</v>
      </c>
      <c r="K51" s="16"/>
      <c r="L51" s="130">
        <f>H51/J51</f>
        <v>24200</v>
      </c>
      <c r="M51" s="17"/>
      <c r="N51" s="6"/>
      <c r="O51" s="17"/>
      <c r="P51" s="118"/>
      <c r="Q51" s="53"/>
      <c r="R51" s="6"/>
      <c r="T51" s="1"/>
      <c r="U51" s="1"/>
      <c r="V51" s="1"/>
      <c r="W51" s="1"/>
      <c r="X51" s="1"/>
    </row>
    <row r="52" spans="1:24" s="4" customFormat="1" ht="12.75" customHeight="1">
      <c r="A52" s="1"/>
      <c r="B52" s="5"/>
      <c r="C52" s="119"/>
      <c r="D52" s="44"/>
      <c r="E52" s="44"/>
      <c r="F52" s="120"/>
      <c r="G52" s="100"/>
      <c r="H52" s="34"/>
      <c r="I52" s="99"/>
      <c r="J52" s="120"/>
      <c r="K52" s="99"/>
      <c r="L52" s="44"/>
      <c r="M52" s="100"/>
      <c r="N52" s="44"/>
      <c r="O52" s="100"/>
      <c r="P52" s="121"/>
      <c r="Q52" s="53"/>
      <c r="R52" s="6"/>
      <c r="T52" s="1"/>
      <c r="U52" s="1"/>
      <c r="V52" s="1"/>
      <c r="W52" s="1"/>
      <c r="X52" s="1"/>
    </row>
    <row r="53" spans="1:24" s="4" customFormat="1" ht="12.75" customHeight="1">
      <c r="A53" s="1"/>
      <c r="B53" s="5"/>
      <c r="D53" s="6"/>
      <c r="E53" s="6"/>
      <c r="F53" s="10"/>
      <c r="G53" s="17"/>
      <c r="H53" s="13"/>
      <c r="I53" s="16"/>
      <c r="J53" s="10"/>
      <c r="K53" s="16"/>
      <c r="L53" s="6"/>
      <c r="M53" s="17"/>
      <c r="N53" s="6"/>
      <c r="O53" s="17"/>
      <c r="P53" s="6"/>
      <c r="Q53" s="53"/>
      <c r="R53" s="6"/>
      <c r="T53" s="1"/>
      <c r="U53" s="1"/>
      <c r="V53" s="1"/>
      <c r="W53" s="1"/>
      <c r="X53" s="1"/>
    </row>
    <row r="54" spans="1:24" s="4" customFormat="1" ht="12.75" customHeight="1" thickBot="1">
      <c r="A54" s="1"/>
      <c r="B54" s="5"/>
      <c r="C54" s="123" t="s">
        <v>147</v>
      </c>
      <c r="D54" s="71"/>
      <c r="E54" s="71"/>
      <c r="F54" s="72"/>
      <c r="G54" s="73"/>
      <c r="H54" s="74"/>
      <c r="I54" s="33"/>
      <c r="J54" s="72"/>
      <c r="K54" s="33"/>
      <c r="L54" s="71"/>
      <c r="M54" s="73"/>
      <c r="N54" s="71"/>
      <c r="O54" s="73"/>
      <c r="P54" s="71"/>
      <c r="Q54" s="53"/>
      <c r="R54" s="6"/>
      <c r="T54" s="1"/>
      <c r="U54" s="1"/>
      <c r="V54" s="1"/>
      <c r="W54" s="1"/>
      <c r="X54" s="1"/>
    </row>
    <row r="55" spans="1:24" s="4" customFormat="1" ht="12.75" customHeight="1">
      <c r="A55" s="1"/>
      <c r="B55" s="5"/>
      <c r="C55" s="127"/>
      <c r="D55" s="6"/>
      <c r="E55" s="6"/>
      <c r="F55" s="10"/>
      <c r="G55" s="17"/>
      <c r="H55" s="13"/>
      <c r="I55" s="16"/>
      <c r="J55" s="10"/>
      <c r="K55" s="16"/>
      <c r="L55" s="6"/>
      <c r="M55" s="17"/>
      <c r="N55" s="6"/>
      <c r="O55" s="17"/>
      <c r="P55" s="6"/>
      <c r="Q55" s="53"/>
      <c r="R55" s="6"/>
      <c r="T55" s="1"/>
      <c r="U55" s="1"/>
      <c r="V55" s="1"/>
      <c r="W55" s="1"/>
      <c r="X55" s="1"/>
    </row>
    <row r="56" spans="1:24" s="4" customFormat="1" ht="12.75" customHeight="1">
      <c r="A56" s="1"/>
      <c r="B56" s="5"/>
      <c r="C56" s="11" t="s">
        <v>95</v>
      </c>
      <c r="D56" s="35">
        <f>(D26+D46)*J60</f>
        <v>43560</v>
      </c>
      <c r="E56" s="6"/>
      <c r="F56" s="185" t="s">
        <v>33</v>
      </c>
      <c r="G56" s="17"/>
      <c r="H56" s="13"/>
      <c r="I56" s="16"/>
      <c r="J56" s="10"/>
      <c r="K56" s="16"/>
      <c r="L56" s="6"/>
      <c r="M56" s="17"/>
      <c r="N56" s="6"/>
      <c r="O56" s="17"/>
      <c r="P56" s="6"/>
      <c r="Q56" s="53"/>
      <c r="R56" s="6"/>
      <c r="T56" s="1"/>
      <c r="U56" s="1"/>
      <c r="V56" s="1"/>
      <c r="W56" s="1"/>
      <c r="X56" s="1"/>
    </row>
    <row r="57" spans="1:24" s="4" customFormat="1" ht="12.75" customHeight="1">
      <c r="A57" s="1"/>
      <c r="B57" s="5"/>
      <c r="D57" s="6"/>
      <c r="E57" s="6"/>
      <c r="F57" s="10"/>
      <c r="G57" s="17"/>
      <c r="H57" s="13"/>
      <c r="I57" s="16"/>
      <c r="J57" s="10"/>
      <c r="K57" s="16"/>
      <c r="L57" s="6"/>
      <c r="M57" s="17"/>
      <c r="N57" s="6"/>
      <c r="O57" s="17"/>
      <c r="P57" s="6"/>
      <c r="Q57" s="53"/>
      <c r="R57" s="6"/>
      <c r="T57" s="1"/>
      <c r="U57" s="1"/>
      <c r="V57" s="1"/>
      <c r="W57" s="1"/>
      <c r="X57" s="1"/>
    </row>
    <row r="58" spans="1:24" s="4" customFormat="1" ht="12.75" customHeight="1">
      <c r="A58" s="1"/>
      <c r="B58" s="5"/>
      <c r="C58" s="111"/>
      <c r="D58" s="112"/>
      <c r="E58" s="112"/>
      <c r="F58" s="116"/>
      <c r="G58" s="113"/>
      <c r="H58" s="114"/>
      <c r="I58" s="115"/>
      <c r="J58" s="116"/>
      <c r="K58" s="115"/>
      <c r="L58" s="112"/>
      <c r="M58" s="113"/>
      <c r="N58" s="112"/>
      <c r="O58" s="113"/>
      <c r="P58" s="117"/>
      <c r="Q58" s="53"/>
      <c r="R58" s="6"/>
      <c r="T58" s="1"/>
      <c r="U58" s="1"/>
      <c r="V58" s="1"/>
      <c r="W58" s="1"/>
      <c r="X58" s="1"/>
    </row>
    <row r="59" spans="1:24" s="4" customFormat="1" ht="38.25">
      <c r="A59" s="1"/>
      <c r="B59" s="5"/>
      <c r="C59" s="129"/>
      <c r="D59" s="60" t="s">
        <v>88</v>
      </c>
      <c r="E59" s="131" t="s">
        <v>13</v>
      </c>
      <c r="F59" s="60" t="s">
        <v>89</v>
      </c>
      <c r="G59" s="17" t="s">
        <v>29</v>
      </c>
      <c r="H59" s="60" t="s">
        <v>92</v>
      </c>
      <c r="I59" s="16" t="s">
        <v>18</v>
      </c>
      <c r="J59" s="194" t="s">
        <v>236</v>
      </c>
      <c r="K59" s="47" t="s">
        <v>29</v>
      </c>
      <c r="L59" s="60" t="s">
        <v>95</v>
      </c>
      <c r="M59" s="17"/>
      <c r="N59" s="6"/>
      <c r="O59" s="17"/>
      <c r="P59" s="118"/>
      <c r="Q59" s="53"/>
      <c r="R59" s="6"/>
      <c r="T59" s="1"/>
      <c r="U59" s="1"/>
      <c r="V59" s="1"/>
      <c r="W59" s="1"/>
      <c r="X59" s="1"/>
    </row>
    <row r="60" spans="1:24" s="4" customFormat="1" ht="12.75" customHeight="1">
      <c r="A60" s="1"/>
      <c r="B60" s="5"/>
      <c r="C60" s="129" t="s">
        <v>91</v>
      </c>
      <c r="D60" s="6">
        <f>D26</f>
        <v>363000</v>
      </c>
      <c r="F60" s="13">
        <f>D46</f>
        <v>72600</v>
      </c>
      <c r="H60" s="13">
        <f>D60+F60</f>
        <v>435600</v>
      </c>
      <c r="J60" s="314">
        <v>0.1</v>
      </c>
      <c r="K60" s="16"/>
      <c r="L60" s="124">
        <f>H60*J60</f>
        <v>43560</v>
      </c>
      <c r="M60" s="17"/>
      <c r="N60" s="6"/>
      <c r="O60" s="17"/>
      <c r="P60" s="118"/>
      <c r="Q60" s="53"/>
      <c r="R60" s="6"/>
      <c r="T60" s="1"/>
      <c r="U60" s="1"/>
      <c r="V60" s="1"/>
      <c r="W60" s="1"/>
      <c r="X60" s="1"/>
    </row>
    <row r="61" spans="1:24" s="4" customFormat="1" ht="12.75" customHeight="1">
      <c r="A61" s="1"/>
      <c r="B61" s="5"/>
      <c r="C61" s="119"/>
      <c r="D61" s="44"/>
      <c r="E61" s="44"/>
      <c r="F61" s="120"/>
      <c r="G61" s="100"/>
      <c r="H61" s="34"/>
      <c r="I61" s="99"/>
      <c r="J61" s="120"/>
      <c r="K61" s="99"/>
      <c r="L61" s="44"/>
      <c r="M61" s="100"/>
      <c r="N61" s="44"/>
      <c r="O61" s="100"/>
      <c r="P61" s="121"/>
      <c r="Q61" s="53"/>
      <c r="R61" s="6"/>
      <c r="T61" s="1"/>
      <c r="U61" s="1"/>
      <c r="V61" s="1"/>
      <c r="W61" s="1"/>
      <c r="X61" s="1"/>
    </row>
    <row r="62" spans="1:24" s="4" customFormat="1" ht="12.75" customHeight="1">
      <c r="A62" s="1"/>
      <c r="B62" s="5"/>
      <c r="D62" s="6"/>
      <c r="E62" s="6"/>
      <c r="F62" s="10"/>
      <c r="G62" s="17"/>
      <c r="H62" s="13"/>
      <c r="I62" s="16"/>
      <c r="J62" s="10"/>
      <c r="K62" s="16"/>
      <c r="L62" s="6"/>
      <c r="M62" s="17"/>
      <c r="N62" s="6"/>
      <c r="O62" s="17"/>
      <c r="P62" s="6"/>
      <c r="Q62" s="53"/>
      <c r="R62" s="6"/>
      <c r="T62" s="1"/>
      <c r="U62" s="1"/>
      <c r="V62" s="1"/>
      <c r="W62" s="1"/>
      <c r="X62" s="1"/>
    </row>
    <row r="63" spans="1:24" s="4" customFormat="1" ht="12.75" customHeight="1" thickBot="1">
      <c r="A63" s="1"/>
      <c r="B63" s="5"/>
      <c r="C63" s="123" t="s">
        <v>148</v>
      </c>
      <c r="D63" s="71"/>
      <c r="E63" s="71"/>
      <c r="F63" s="72"/>
      <c r="G63" s="73"/>
      <c r="H63" s="74"/>
      <c r="I63" s="33"/>
      <c r="J63" s="72"/>
      <c r="K63" s="33"/>
      <c r="L63" s="71"/>
      <c r="M63" s="73"/>
      <c r="N63" s="71"/>
      <c r="O63" s="73"/>
      <c r="P63" s="71"/>
      <c r="Q63" s="53"/>
      <c r="R63" s="6"/>
      <c r="T63" s="1"/>
      <c r="U63" s="1"/>
      <c r="V63" s="1"/>
      <c r="W63" s="1"/>
      <c r="X63" s="1"/>
    </row>
    <row r="64" spans="1:24" s="4" customFormat="1" ht="12.75" customHeight="1">
      <c r="A64" s="1"/>
      <c r="B64" s="5"/>
      <c r="D64" s="6"/>
      <c r="E64" s="6"/>
      <c r="F64" s="10"/>
      <c r="G64" s="17"/>
      <c r="H64" s="13"/>
      <c r="I64" s="16"/>
      <c r="J64" s="10"/>
      <c r="K64" s="16"/>
      <c r="L64" s="6"/>
      <c r="M64" s="17"/>
      <c r="N64" s="6"/>
      <c r="O64" s="17"/>
      <c r="P64" s="6"/>
      <c r="Q64" s="53"/>
      <c r="R64" s="6"/>
      <c r="T64" s="1"/>
      <c r="U64" s="1"/>
      <c r="V64" s="1"/>
      <c r="W64" s="1"/>
      <c r="X64" s="1"/>
    </row>
    <row r="65" spans="1:24" s="4" customFormat="1" ht="12.75" customHeight="1">
      <c r="A65" s="1"/>
      <c r="B65" s="5"/>
      <c r="C65" s="11" t="s">
        <v>21</v>
      </c>
      <c r="D65" s="35">
        <f>H74</f>
        <v>0</v>
      </c>
      <c r="E65" s="78"/>
      <c r="F65" s="4" t="s">
        <v>25</v>
      </c>
      <c r="G65" s="17"/>
      <c r="H65" s="13"/>
      <c r="I65" s="16"/>
      <c r="J65" s="10"/>
      <c r="K65" s="16"/>
      <c r="L65" s="6"/>
      <c r="M65" s="17"/>
      <c r="N65" s="6"/>
      <c r="O65" s="17"/>
      <c r="P65" s="6"/>
      <c r="Q65" s="53"/>
      <c r="R65" s="6"/>
      <c r="T65" s="1"/>
      <c r="U65" s="1"/>
      <c r="V65" s="1"/>
      <c r="W65" s="1"/>
      <c r="X65" s="1"/>
    </row>
    <row r="66" spans="1:24" s="4" customFormat="1" ht="12.75" customHeight="1">
      <c r="A66" s="1"/>
      <c r="B66" s="5"/>
      <c r="C66" s="93" t="s">
        <v>22</v>
      </c>
      <c r="D66" s="35">
        <f>L74</f>
        <v>0</v>
      </c>
      <c r="E66" s="78"/>
      <c r="F66" s="185" t="s">
        <v>58</v>
      </c>
      <c r="G66" s="17"/>
      <c r="H66" s="13"/>
      <c r="I66" s="16"/>
      <c r="J66" s="10"/>
      <c r="K66" s="16"/>
      <c r="L66" s="6"/>
      <c r="M66" s="17"/>
      <c r="N66" s="6"/>
      <c r="O66" s="17"/>
      <c r="P66" s="6"/>
      <c r="Q66" s="53"/>
      <c r="R66" s="6"/>
      <c r="T66" s="1"/>
      <c r="U66" s="1"/>
      <c r="V66" s="1"/>
      <c r="W66" s="1"/>
      <c r="X66" s="1"/>
    </row>
    <row r="67" spans="1:24" s="4" customFormat="1" ht="12.75" customHeight="1">
      <c r="A67" s="1"/>
      <c r="B67" s="5"/>
      <c r="D67" s="6"/>
      <c r="E67" s="6"/>
      <c r="F67" s="10"/>
      <c r="G67" s="17"/>
      <c r="H67" s="13"/>
      <c r="I67" s="16"/>
      <c r="J67" s="10"/>
      <c r="K67" s="16"/>
      <c r="L67" s="6"/>
      <c r="M67" s="17"/>
      <c r="N67" s="6"/>
      <c r="O67" s="17"/>
      <c r="P67" s="6"/>
      <c r="Q67" s="53"/>
      <c r="R67" s="6"/>
      <c r="T67" s="1"/>
      <c r="U67" s="1"/>
      <c r="V67" s="1"/>
      <c r="W67" s="1"/>
      <c r="X67" s="1"/>
    </row>
    <row r="68" spans="1:24" s="4" customFormat="1" ht="12.75" customHeight="1">
      <c r="A68" s="1"/>
      <c r="B68" s="5"/>
      <c r="C68" s="111"/>
      <c r="D68" s="112"/>
      <c r="E68" s="112"/>
      <c r="F68" s="116"/>
      <c r="G68" s="113"/>
      <c r="H68" s="114"/>
      <c r="I68" s="115"/>
      <c r="J68" s="116"/>
      <c r="K68" s="115"/>
      <c r="L68" s="112"/>
      <c r="M68" s="113"/>
      <c r="N68" s="112"/>
      <c r="O68" s="113"/>
      <c r="P68" s="117"/>
      <c r="Q68" s="53"/>
      <c r="R68" s="6"/>
      <c r="T68" s="1"/>
      <c r="U68" s="1"/>
      <c r="V68" s="1"/>
      <c r="W68" s="1"/>
      <c r="X68" s="1"/>
    </row>
    <row r="69" spans="1:24" s="4" customFormat="1" ht="25.5">
      <c r="A69" s="1"/>
      <c r="B69" s="5"/>
      <c r="C69" s="129"/>
      <c r="D69" s="6"/>
      <c r="E69" s="6"/>
      <c r="F69" s="187" t="s">
        <v>175</v>
      </c>
      <c r="G69" s="7"/>
      <c r="I69" s="16"/>
      <c r="J69" s="10"/>
      <c r="K69" s="16"/>
      <c r="L69" s="6"/>
      <c r="M69" s="17"/>
      <c r="N69" s="6"/>
      <c r="O69" s="17"/>
      <c r="P69" s="118"/>
      <c r="Q69" s="53"/>
      <c r="R69" s="6"/>
      <c r="T69" s="1"/>
      <c r="U69" s="1"/>
      <c r="V69" s="1"/>
      <c r="W69" s="1"/>
      <c r="X69" s="1"/>
    </row>
    <row r="70" spans="1:24" s="4" customFormat="1" ht="12.75" customHeight="1">
      <c r="A70" s="1"/>
      <c r="B70" s="5"/>
      <c r="C70" s="129"/>
      <c r="D70" s="41" t="s">
        <v>6</v>
      </c>
      <c r="E70" s="6"/>
      <c r="F70" s="332">
        <v>0</v>
      </c>
      <c r="G70" s="17"/>
      <c r="H70" s="4" t="str">
        <f>IF(Main!C99="Linux/Unix","&lt;--User selected 'Linux/Unix' on the 'Overview' tab.  This value ($"&amp;FIXED(F70,0,0)&amp;") will be used.","")</f>
        <v>&lt;--User selected 'Linux/Unix' on the 'Overview' tab.  This value ($0) will be used.</v>
      </c>
      <c r="I70" s="16"/>
      <c r="J70" s="10"/>
      <c r="K70" s="16"/>
      <c r="L70" s="6"/>
      <c r="M70" s="17"/>
      <c r="N70" s="6"/>
      <c r="O70" s="17"/>
      <c r="P70" s="118"/>
      <c r="Q70" s="53"/>
      <c r="R70" s="6"/>
      <c r="T70" s="1"/>
      <c r="U70" s="1"/>
      <c r="V70" s="1"/>
      <c r="W70" s="1"/>
      <c r="X70" s="1"/>
    </row>
    <row r="71" spans="1:24" s="4" customFormat="1" ht="12.75" customHeight="1">
      <c r="A71" s="1"/>
      <c r="B71" s="5"/>
      <c r="C71" s="129"/>
      <c r="D71" s="41" t="s">
        <v>7</v>
      </c>
      <c r="E71" s="6"/>
      <c r="F71" s="332">
        <v>2999</v>
      </c>
      <c r="H71" s="4">
        <f>IF(Main!C99="Windows","&lt;--User selected 'Windows' on the 'Overview' tab.  This value ($"&amp;FIXED(F71,0,0)&amp;") will be used.","")</f>
      </c>
      <c r="I71" s="16"/>
      <c r="J71" s="58"/>
      <c r="K71" s="58"/>
      <c r="L71" s="58"/>
      <c r="M71" s="17"/>
      <c r="N71" s="6"/>
      <c r="O71" s="17"/>
      <c r="P71" s="118"/>
      <c r="Q71" s="53"/>
      <c r="R71" s="6"/>
      <c r="T71" s="1"/>
      <c r="U71" s="1"/>
      <c r="V71" s="1"/>
      <c r="W71" s="1"/>
      <c r="X71" s="1"/>
    </row>
    <row r="72" spans="1:24" s="4" customFormat="1" ht="12.75" customHeight="1">
      <c r="A72" s="1"/>
      <c r="B72" s="5"/>
      <c r="C72" s="129"/>
      <c r="D72" s="6"/>
      <c r="E72" s="6"/>
      <c r="F72" s="10"/>
      <c r="G72" s="17"/>
      <c r="H72" s="13"/>
      <c r="I72" s="16"/>
      <c r="J72" s="10"/>
      <c r="K72" s="16"/>
      <c r="L72" s="6"/>
      <c r="M72" s="17"/>
      <c r="N72" s="6"/>
      <c r="O72" s="17"/>
      <c r="P72" s="118"/>
      <c r="Q72" s="53"/>
      <c r="R72" s="6"/>
      <c r="T72" s="1"/>
      <c r="U72" s="1"/>
      <c r="V72" s="1"/>
      <c r="W72" s="1"/>
      <c r="X72" s="1"/>
    </row>
    <row r="73" spans="1:24" s="4" customFormat="1" ht="38.25">
      <c r="A73" s="1"/>
      <c r="B73" s="5"/>
      <c r="C73" s="159"/>
      <c r="D73" s="60" t="s">
        <v>97</v>
      </c>
      <c r="E73" s="4" t="s">
        <v>18</v>
      </c>
      <c r="F73" s="60" t="s">
        <v>174</v>
      </c>
      <c r="G73" s="4" t="s">
        <v>29</v>
      </c>
      <c r="H73" s="101" t="s">
        <v>98</v>
      </c>
      <c r="I73" s="132" t="s">
        <v>94</v>
      </c>
      <c r="J73" s="60" t="s">
        <v>260</v>
      </c>
      <c r="K73" s="17" t="s">
        <v>29</v>
      </c>
      <c r="L73" s="59" t="s">
        <v>24</v>
      </c>
      <c r="P73" s="107"/>
      <c r="Q73" s="53"/>
      <c r="R73" s="6"/>
      <c r="T73" s="1"/>
      <c r="U73" s="1"/>
      <c r="V73" s="1"/>
      <c r="W73" s="1"/>
      <c r="X73" s="1"/>
    </row>
    <row r="74" spans="1:24" s="4" customFormat="1" ht="12.75" customHeight="1">
      <c r="A74" s="1"/>
      <c r="B74" s="5"/>
      <c r="C74" s="133" t="s">
        <v>16</v>
      </c>
      <c r="D74" s="58">
        <f>H39</f>
        <v>1000</v>
      </c>
      <c r="E74" s="16"/>
      <c r="F74" s="8">
        <f>IF(Main!C99="Linux/Unix",'3) On-Site'!F70,'3) On-Site'!F71)</f>
        <v>0</v>
      </c>
      <c r="H74" s="130">
        <f>D74*F74</f>
        <v>0</v>
      </c>
      <c r="I74" s="17"/>
      <c r="J74" s="223">
        <f>N31</f>
        <v>3</v>
      </c>
      <c r="K74" s="17"/>
      <c r="L74" s="130">
        <f>H74/J74</f>
        <v>0</v>
      </c>
      <c r="P74" s="107"/>
      <c r="Q74" s="53"/>
      <c r="R74" s="6"/>
      <c r="T74" s="1"/>
      <c r="U74" s="1"/>
      <c r="V74" s="1"/>
      <c r="W74" s="1"/>
      <c r="X74" s="1"/>
    </row>
    <row r="75" spans="1:24" s="4" customFormat="1" ht="12.75" customHeight="1">
      <c r="A75" s="1"/>
      <c r="B75" s="5"/>
      <c r="C75" s="133"/>
      <c r="D75" s="58"/>
      <c r="E75" s="16"/>
      <c r="F75" s="58"/>
      <c r="G75" s="58"/>
      <c r="H75" s="58"/>
      <c r="L75" s="130"/>
      <c r="M75" s="17"/>
      <c r="N75" s="6"/>
      <c r="O75" s="17"/>
      <c r="P75" s="234"/>
      <c r="Q75" s="53"/>
      <c r="R75" s="6"/>
      <c r="T75" s="1"/>
      <c r="U75" s="1"/>
      <c r="V75" s="1"/>
      <c r="W75" s="1"/>
      <c r="X75" s="1"/>
    </row>
    <row r="76" spans="1:24" s="4" customFormat="1" ht="12.75" customHeight="1">
      <c r="A76" s="1"/>
      <c r="B76" s="5"/>
      <c r="C76" s="133"/>
      <c r="D76" s="58"/>
      <c r="E76" s="16"/>
      <c r="J76" s="50" t="s">
        <v>261</v>
      </c>
      <c r="L76" s="130"/>
      <c r="M76" s="17"/>
      <c r="O76" s="17"/>
      <c r="P76" s="234"/>
      <c r="Q76" s="53"/>
      <c r="R76" s="6"/>
      <c r="T76" s="1"/>
      <c r="U76" s="1"/>
      <c r="V76" s="1"/>
      <c r="W76" s="1"/>
      <c r="X76" s="1"/>
    </row>
    <row r="77" spans="1:24" s="4" customFormat="1" ht="12.75" customHeight="1">
      <c r="A77" s="1"/>
      <c r="B77" s="5"/>
      <c r="C77" s="134"/>
      <c r="D77" s="101"/>
      <c r="E77" s="44"/>
      <c r="F77" s="120"/>
      <c r="G77" s="100"/>
      <c r="H77" s="34"/>
      <c r="I77" s="99"/>
      <c r="J77" s="120"/>
      <c r="K77" s="99"/>
      <c r="L77" s="34"/>
      <c r="M77" s="100"/>
      <c r="N77" s="101"/>
      <c r="O77" s="100"/>
      <c r="P77" s="121"/>
      <c r="Q77" s="53"/>
      <c r="R77" s="6"/>
      <c r="T77" s="1"/>
      <c r="U77" s="1"/>
      <c r="V77" s="1"/>
      <c r="W77" s="1"/>
      <c r="X77" s="1"/>
    </row>
    <row r="78" spans="1:24" s="4" customFormat="1" ht="12.75" customHeight="1">
      <c r="A78" s="1"/>
      <c r="B78" s="5"/>
      <c r="C78" s="181"/>
      <c r="D78" s="58"/>
      <c r="E78" s="16"/>
      <c r="H78" s="58"/>
      <c r="I78" s="58"/>
      <c r="J78" s="58"/>
      <c r="L78" s="6"/>
      <c r="M78" s="17"/>
      <c r="N78" s="50"/>
      <c r="O78" s="17"/>
      <c r="P78" s="6"/>
      <c r="Q78" s="53"/>
      <c r="R78" s="6"/>
      <c r="T78" s="1"/>
      <c r="U78" s="1"/>
      <c r="V78" s="1"/>
      <c r="W78" s="1"/>
      <c r="X78" s="1"/>
    </row>
    <row r="79" spans="1:24" s="4" customFormat="1" ht="12.75" customHeight="1" thickBot="1">
      <c r="A79" s="1"/>
      <c r="B79" s="5"/>
      <c r="C79" s="123" t="s">
        <v>149</v>
      </c>
      <c r="D79" s="71"/>
      <c r="E79" s="71"/>
      <c r="F79" s="72"/>
      <c r="G79" s="73"/>
      <c r="H79" s="74"/>
      <c r="I79" s="33"/>
      <c r="J79" s="72"/>
      <c r="K79" s="33"/>
      <c r="L79" s="71"/>
      <c r="M79" s="73"/>
      <c r="N79" s="71"/>
      <c r="O79" s="73"/>
      <c r="P79" s="71"/>
      <c r="Q79" s="53"/>
      <c r="R79" s="6"/>
      <c r="T79" s="1"/>
      <c r="U79" s="1"/>
      <c r="V79" s="1"/>
      <c r="W79" s="1"/>
      <c r="X79" s="1"/>
    </row>
    <row r="80" spans="1:24" s="4" customFormat="1" ht="12.75" customHeight="1">
      <c r="A80" s="1"/>
      <c r="B80" s="5"/>
      <c r="D80" s="6"/>
      <c r="E80" s="6"/>
      <c r="F80" s="10"/>
      <c r="G80" s="17"/>
      <c r="H80" s="13"/>
      <c r="I80" s="16"/>
      <c r="J80" s="10"/>
      <c r="K80" s="16"/>
      <c r="L80" s="6"/>
      <c r="M80" s="17"/>
      <c r="N80" s="6"/>
      <c r="O80" s="17"/>
      <c r="P80" s="6"/>
      <c r="Q80" s="53"/>
      <c r="R80" s="6"/>
      <c r="T80" s="1"/>
      <c r="U80" s="1"/>
      <c r="V80" s="1"/>
      <c r="W80" s="1"/>
      <c r="X80" s="1"/>
    </row>
    <row r="81" spans="1:24" s="4" customFormat="1" ht="12.75" customHeight="1">
      <c r="A81" s="1"/>
      <c r="B81" s="5"/>
      <c r="C81" s="11" t="s">
        <v>26</v>
      </c>
      <c r="D81" s="35">
        <f>P96</f>
        <v>147420</v>
      </c>
      <c r="E81" s="6"/>
      <c r="F81" s="94" t="s">
        <v>27</v>
      </c>
      <c r="G81" s="17"/>
      <c r="H81" s="13"/>
      <c r="I81" s="16"/>
      <c r="J81" s="10"/>
      <c r="K81" s="16"/>
      <c r="L81" s="6"/>
      <c r="M81" s="17"/>
      <c r="N81" s="6"/>
      <c r="O81" s="17"/>
      <c r="P81" s="6"/>
      <c r="Q81" s="53"/>
      <c r="R81" s="6"/>
      <c r="T81" s="1"/>
      <c r="U81" s="1"/>
      <c r="V81" s="1"/>
      <c r="W81" s="1"/>
      <c r="X81" s="1"/>
    </row>
    <row r="82" spans="1:24" s="4" customFormat="1" ht="12.75" customHeight="1">
      <c r="A82" s="1"/>
      <c r="B82" s="5"/>
      <c r="D82" s="6"/>
      <c r="E82" s="6"/>
      <c r="F82" s="10"/>
      <c r="G82" s="17"/>
      <c r="H82" s="13"/>
      <c r="I82" s="16"/>
      <c r="J82" s="10"/>
      <c r="K82" s="16"/>
      <c r="L82" s="6"/>
      <c r="M82" s="17"/>
      <c r="N82" s="6"/>
      <c r="O82" s="17"/>
      <c r="P82" s="6"/>
      <c r="Q82" s="53"/>
      <c r="R82" s="6"/>
      <c r="T82" s="1"/>
      <c r="U82" s="1"/>
      <c r="V82" s="1"/>
      <c r="W82" s="1"/>
      <c r="X82" s="1"/>
    </row>
    <row r="83" spans="1:24" s="4" customFormat="1" ht="12.75" customHeight="1">
      <c r="A83" s="1"/>
      <c r="B83" s="5"/>
      <c r="C83" s="111"/>
      <c r="D83" s="112"/>
      <c r="E83" s="112"/>
      <c r="F83" s="116"/>
      <c r="G83" s="113"/>
      <c r="H83" s="114"/>
      <c r="I83" s="115"/>
      <c r="J83" s="116"/>
      <c r="K83" s="115"/>
      <c r="L83" s="112"/>
      <c r="M83" s="113"/>
      <c r="N83" s="112"/>
      <c r="O83" s="113"/>
      <c r="P83" s="117"/>
      <c r="Q83" s="53"/>
      <c r="R83" s="6"/>
      <c r="T83" s="1"/>
      <c r="U83" s="1"/>
      <c r="V83" s="1"/>
      <c r="W83" s="1"/>
      <c r="X83" s="1"/>
    </row>
    <row r="84" spans="1:24" s="4" customFormat="1" ht="51">
      <c r="A84" s="1"/>
      <c r="B84" s="5"/>
      <c r="C84" s="138"/>
      <c r="D84" s="60" t="s">
        <v>30</v>
      </c>
      <c r="E84" s="6" t="s">
        <v>18</v>
      </c>
      <c r="F84" s="190" t="s">
        <v>214</v>
      </c>
      <c r="G84" s="4" t="s">
        <v>18</v>
      </c>
      <c r="H84" s="190" t="s">
        <v>210</v>
      </c>
      <c r="I84" s="158" t="s">
        <v>29</v>
      </c>
      <c r="J84" s="60" t="s">
        <v>80</v>
      </c>
      <c r="K84" s="16" t="s">
        <v>18</v>
      </c>
      <c r="L84" s="347" t="s">
        <v>129</v>
      </c>
      <c r="M84" s="132" t="s">
        <v>94</v>
      </c>
      <c r="N84" s="101" t="s">
        <v>130</v>
      </c>
      <c r="O84" s="146" t="s">
        <v>29</v>
      </c>
      <c r="P84" s="199" t="s">
        <v>132</v>
      </c>
      <c r="Q84" s="53"/>
      <c r="R84" s="50"/>
      <c r="T84" s="1"/>
      <c r="U84" s="1"/>
      <c r="V84" s="1"/>
      <c r="W84" s="1"/>
      <c r="X84" s="1"/>
    </row>
    <row r="85" spans="1:24" s="4" customFormat="1" ht="12.75" customHeight="1">
      <c r="A85" s="1"/>
      <c r="B85" s="5"/>
      <c r="C85" s="182" t="s">
        <v>336</v>
      </c>
      <c r="D85" s="58">
        <f aca="true" t="shared" si="3" ref="D85:D92">H31</f>
        <v>1000</v>
      </c>
      <c r="E85" s="6"/>
      <c r="F85" s="313">
        <v>150</v>
      </c>
      <c r="H85" s="464">
        <v>0.5</v>
      </c>
      <c r="J85" s="58">
        <f aca="true" t="shared" si="4" ref="J85:J92">D85*F85*$H$85</f>
        <v>75000</v>
      </c>
      <c r="K85" s="16"/>
      <c r="L85" s="58">
        <v>8736</v>
      </c>
      <c r="N85" s="7">
        <v>1000</v>
      </c>
      <c r="O85" s="16"/>
      <c r="P85" s="200">
        <f aca="true" t="shared" si="5" ref="P85:P92">J85*L85/N85</f>
        <v>655200</v>
      </c>
      <c r="Q85" s="53"/>
      <c r="R85" s="50"/>
      <c r="T85" s="1"/>
      <c r="U85" s="1"/>
      <c r="V85" s="1"/>
      <c r="W85" s="1"/>
      <c r="X85" s="1"/>
    </row>
    <row r="86" spans="1:24" s="4" customFormat="1" ht="12.75" customHeight="1">
      <c r="A86" s="1"/>
      <c r="B86" s="5"/>
      <c r="C86" s="182" t="s">
        <v>337</v>
      </c>
      <c r="D86" s="58">
        <f t="shared" si="3"/>
        <v>0</v>
      </c>
      <c r="E86" s="6"/>
      <c r="F86" s="313">
        <v>240</v>
      </c>
      <c r="H86" s="465"/>
      <c r="J86" s="58">
        <f t="shared" si="4"/>
        <v>0</v>
      </c>
      <c r="K86" s="16"/>
      <c r="L86" s="58">
        <v>8736</v>
      </c>
      <c r="N86" s="7">
        <v>1000</v>
      </c>
      <c r="P86" s="200">
        <f t="shared" si="5"/>
        <v>0</v>
      </c>
      <c r="Q86" s="53"/>
      <c r="R86" s="50"/>
      <c r="T86" s="1"/>
      <c r="U86" s="1"/>
      <c r="V86" s="1"/>
      <c r="W86" s="1"/>
      <c r="X86" s="1"/>
    </row>
    <row r="87" spans="1:24" s="4" customFormat="1" ht="12.75" customHeight="1">
      <c r="A87" s="1"/>
      <c r="B87" s="5"/>
      <c r="C87" s="182" t="s">
        <v>338</v>
      </c>
      <c r="D87" s="58">
        <f t="shared" si="3"/>
        <v>0</v>
      </c>
      <c r="E87" s="6"/>
      <c r="F87" s="313">
        <v>391</v>
      </c>
      <c r="H87" s="465"/>
      <c r="J87" s="58">
        <f t="shared" si="4"/>
        <v>0</v>
      </c>
      <c r="K87" s="16"/>
      <c r="L87" s="58">
        <v>8736</v>
      </c>
      <c r="N87" s="7">
        <v>1000</v>
      </c>
      <c r="O87" s="17"/>
      <c r="P87" s="200">
        <f t="shared" si="5"/>
        <v>0</v>
      </c>
      <c r="Q87" s="53"/>
      <c r="R87" s="50"/>
      <c r="T87" s="1"/>
      <c r="U87" s="1"/>
      <c r="V87" s="1"/>
      <c r="W87" s="1"/>
      <c r="X87" s="1"/>
    </row>
    <row r="88" spans="1:24" s="4" customFormat="1" ht="12.75" customHeight="1">
      <c r="A88" s="1"/>
      <c r="B88" s="5"/>
      <c r="C88" s="182" t="s">
        <v>377</v>
      </c>
      <c r="D88" s="58">
        <f t="shared" si="3"/>
        <v>0</v>
      </c>
      <c r="E88" s="6"/>
      <c r="F88" s="313">
        <v>405</v>
      </c>
      <c r="H88" s="465"/>
      <c r="J88" s="58">
        <f>D88*F88*$H$85</f>
        <v>0</v>
      </c>
      <c r="K88" s="16"/>
      <c r="L88" s="58">
        <v>8736</v>
      </c>
      <c r="N88" s="7">
        <v>1000</v>
      </c>
      <c r="O88" s="17"/>
      <c r="P88" s="200">
        <f>J88*L88/N88</f>
        <v>0</v>
      </c>
      <c r="Q88" s="53"/>
      <c r="R88" s="50"/>
      <c r="T88" s="1"/>
      <c r="U88" s="1"/>
      <c r="V88" s="1"/>
      <c r="W88" s="1"/>
      <c r="X88" s="1"/>
    </row>
    <row r="89" spans="1:24" s="4" customFormat="1" ht="12.75" customHeight="1">
      <c r="A89" s="1"/>
      <c r="B89" s="5"/>
      <c r="C89" s="182" t="s">
        <v>334</v>
      </c>
      <c r="D89" s="58">
        <f t="shared" si="3"/>
        <v>0</v>
      </c>
      <c r="E89" s="6"/>
      <c r="F89" s="313">
        <v>515</v>
      </c>
      <c r="H89" s="465"/>
      <c r="J89" s="58">
        <f t="shared" si="4"/>
        <v>0</v>
      </c>
      <c r="K89" s="16"/>
      <c r="L89" s="58">
        <v>8736</v>
      </c>
      <c r="N89" s="7">
        <v>1000</v>
      </c>
      <c r="O89" s="17"/>
      <c r="P89" s="200">
        <f t="shared" si="5"/>
        <v>0</v>
      </c>
      <c r="Q89" s="53"/>
      <c r="R89" s="50"/>
      <c r="T89" s="1"/>
      <c r="U89" s="1"/>
      <c r="V89" s="1"/>
      <c r="W89" s="1"/>
      <c r="X89" s="1"/>
    </row>
    <row r="90" spans="1:24" s="4" customFormat="1" ht="12.75" customHeight="1">
      <c r="A90" s="1"/>
      <c r="B90" s="5"/>
      <c r="C90" s="182" t="s">
        <v>335</v>
      </c>
      <c r="D90" s="58">
        <f t="shared" si="3"/>
        <v>0</v>
      </c>
      <c r="E90" s="6"/>
      <c r="F90" s="313">
        <v>630</v>
      </c>
      <c r="H90" s="465"/>
      <c r="J90" s="58">
        <f t="shared" si="4"/>
        <v>0</v>
      </c>
      <c r="K90" s="16"/>
      <c r="L90" s="58">
        <v>8736</v>
      </c>
      <c r="N90" s="7">
        <v>1000</v>
      </c>
      <c r="O90" s="17"/>
      <c r="P90" s="200">
        <f t="shared" si="5"/>
        <v>0</v>
      </c>
      <c r="Q90" s="53"/>
      <c r="R90" s="50"/>
      <c r="T90" s="1"/>
      <c r="U90" s="1"/>
      <c r="V90" s="1"/>
      <c r="W90" s="1"/>
      <c r="X90" s="1"/>
    </row>
    <row r="91" spans="1:24" s="4" customFormat="1" ht="12.75" customHeight="1">
      <c r="A91" s="1"/>
      <c r="B91" s="5"/>
      <c r="C91" s="182" t="s">
        <v>339</v>
      </c>
      <c r="D91" s="58">
        <f t="shared" si="3"/>
        <v>0</v>
      </c>
      <c r="E91" s="6"/>
      <c r="F91" s="313">
        <v>289</v>
      </c>
      <c r="H91" s="465"/>
      <c r="J91" s="58">
        <f>D91*F91*$H$85</f>
        <v>0</v>
      </c>
      <c r="K91" s="16"/>
      <c r="L91" s="58">
        <v>8736</v>
      </c>
      <c r="M91" s="16"/>
      <c r="N91" s="7">
        <v>1000</v>
      </c>
      <c r="O91" s="17"/>
      <c r="P91" s="200">
        <f t="shared" si="5"/>
        <v>0</v>
      </c>
      <c r="Q91" s="53"/>
      <c r="R91" s="50"/>
      <c r="T91" s="1"/>
      <c r="U91" s="1"/>
      <c r="V91" s="1"/>
      <c r="W91" s="1"/>
      <c r="X91" s="1"/>
    </row>
    <row r="92" spans="1:24" s="4" customFormat="1" ht="12.75" customHeight="1">
      <c r="A92" s="1"/>
      <c r="B92" s="5"/>
      <c r="C92" s="182" t="s">
        <v>340</v>
      </c>
      <c r="D92" s="135">
        <f t="shared" si="3"/>
        <v>0</v>
      </c>
      <c r="E92" s="6"/>
      <c r="F92" s="313">
        <v>309</v>
      </c>
      <c r="H92" s="466"/>
      <c r="J92" s="135">
        <f t="shared" si="4"/>
        <v>0</v>
      </c>
      <c r="K92" s="16"/>
      <c r="L92" s="58">
        <v>8736</v>
      </c>
      <c r="N92" s="7">
        <v>1000</v>
      </c>
      <c r="O92" s="17"/>
      <c r="P92" s="201">
        <f t="shared" si="5"/>
        <v>0</v>
      </c>
      <c r="Q92" s="53"/>
      <c r="R92" s="50"/>
      <c r="T92" s="1"/>
      <c r="U92" s="1"/>
      <c r="V92" s="1"/>
      <c r="W92" s="1"/>
      <c r="X92" s="1"/>
    </row>
    <row r="93" spans="1:24" s="4" customFormat="1" ht="12.75" customHeight="1">
      <c r="A93" s="1"/>
      <c r="B93" s="5"/>
      <c r="C93" s="138"/>
      <c r="D93" s="58">
        <f>SUM(D85:D92)</f>
        <v>1000</v>
      </c>
      <c r="E93" s="6"/>
      <c r="F93" s="28"/>
      <c r="G93" s="17"/>
      <c r="J93" s="142">
        <f>SUM(J85:J92)</f>
        <v>75000</v>
      </c>
      <c r="K93" s="16"/>
      <c r="O93" s="17"/>
      <c r="P93" s="202">
        <f>SUM(P85:P92)</f>
        <v>655200</v>
      </c>
      <c r="Q93" s="53"/>
      <c r="R93" s="50"/>
      <c r="T93" s="1"/>
      <c r="U93" s="1"/>
      <c r="V93" s="1"/>
      <c r="W93" s="1"/>
      <c r="X93" s="1"/>
    </row>
    <row r="94" spans="1:24" s="4" customFormat="1" ht="12.75">
      <c r="A94" s="1"/>
      <c r="B94" s="5"/>
      <c r="C94" s="109"/>
      <c r="D94" s="24"/>
      <c r="E94" s="7"/>
      <c r="F94" s="24"/>
      <c r="G94" s="7"/>
      <c r="H94" s="24"/>
      <c r="I94" s="7"/>
      <c r="J94" s="24"/>
      <c r="K94" s="7"/>
      <c r="L94" s="24"/>
      <c r="P94" s="110"/>
      <c r="Q94" s="154"/>
      <c r="R94" s="16"/>
      <c r="T94" s="1"/>
      <c r="U94" s="1"/>
      <c r="V94" s="1"/>
      <c r="W94" s="1"/>
      <c r="X94" s="1"/>
    </row>
    <row r="95" spans="1:24" s="4" customFormat="1" ht="51">
      <c r="A95" s="1"/>
      <c r="B95" s="5"/>
      <c r="C95" s="109"/>
      <c r="D95" s="180" t="s">
        <v>132</v>
      </c>
      <c r="E95" s="7" t="s">
        <v>18</v>
      </c>
      <c r="F95" s="209" t="s">
        <v>128</v>
      </c>
      <c r="G95" s="162" t="s">
        <v>29</v>
      </c>
      <c r="H95" s="180" t="s">
        <v>134</v>
      </c>
      <c r="I95" s="7"/>
      <c r="K95" s="7"/>
      <c r="L95" s="180" t="s">
        <v>135</v>
      </c>
      <c r="M95" s="4" t="s">
        <v>18</v>
      </c>
      <c r="N95" s="206" t="s">
        <v>136</v>
      </c>
      <c r="O95" s="158" t="s">
        <v>29</v>
      </c>
      <c r="P95" s="199" t="s">
        <v>137</v>
      </c>
      <c r="Q95" s="154"/>
      <c r="R95" s="16"/>
      <c r="T95" s="1"/>
      <c r="U95" s="1"/>
      <c r="V95" s="1"/>
      <c r="W95" s="1"/>
      <c r="X95" s="1"/>
    </row>
    <row r="96" spans="1:24" s="4" customFormat="1" ht="12.75">
      <c r="A96" s="1"/>
      <c r="B96" s="5"/>
      <c r="C96" s="109" t="s">
        <v>133</v>
      </c>
      <c r="D96" s="161">
        <f>P93</f>
        <v>655200</v>
      </c>
      <c r="E96" s="7"/>
      <c r="F96" s="335">
        <v>2.5</v>
      </c>
      <c r="G96" s="7"/>
      <c r="H96" s="161">
        <f>(D96*F96)-D96</f>
        <v>982800</v>
      </c>
      <c r="I96" s="7"/>
      <c r="J96" s="24"/>
      <c r="K96" s="7"/>
      <c r="L96" s="161">
        <f>D96+H96</f>
        <v>1638000</v>
      </c>
      <c r="N96" s="331">
        <v>0.09</v>
      </c>
      <c r="P96" s="97">
        <f>L96*N96</f>
        <v>147420</v>
      </c>
      <c r="Q96" s="154"/>
      <c r="R96" s="16"/>
      <c r="T96" s="1"/>
      <c r="U96" s="1"/>
      <c r="V96" s="1"/>
      <c r="W96" s="1"/>
      <c r="X96" s="1"/>
    </row>
    <row r="97" spans="1:24" s="4" customFormat="1" ht="12.75">
      <c r="A97" s="1"/>
      <c r="B97" s="5"/>
      <c r="C97" s="166"/>
      <c r="D97" s="167"/>
      <c r="E97" s="15"/>
      <c r="F97" s="167"/>
      <c r="G97" s="15"/>
      <c r="H97" s="167"/>
      <c r="I97" s="15"/>
      <c r="J97" s="167"/>
      <c r="K97" s="15"/>
      <c r="L97" s="167"/>
      <c r="M97" s="101"/>
      <c r="N97" s="101"/>
      <c r="O97" s="101"/>
      <c r="P97" s="168"/>
      <c r="Q97" s="154"/>
      <c r="R97" s="16"/>
      <c r="T97" s="1"/>
      <c r="U97" s="1"/>
      <c r="V97" s="1"/>
      <c r="W97" s="1"/>
      <c r="X97" s="1"/>
    </row>
    <row r="98" spans="1:24" s="4" customFormat="1" ht="12.75" customHeight="1">
      <c r="A98" s="1"/>
      <c r="B98" s="5"/>
      <c r="C98" s="11"/>
      <c r="D98" s="6"/>
      <c r="E98" s="6"/>
      <c r="F98" s="10"/>
      <c r="G98" s="17"/>
      <c r="H98" s="13"/>
      <c r="I98" s="16"/>
      <c r="J98" s="10"/>
      <c r="K98" s="16"/>
      <c r="L98" s="6"/>
      <c r="M98" s="17"/>
      <c r="N98" s="6"/>
      <c r="O98" s="17"/>
      <c r="P98" s="6"/>
      <c r="Q98" s="53"/>
      <c r="R98" s="6"/>
      <c r="T98" s="1"/>
      <c r="U98" s="1"/>
      <c r="V98" s="1"/>
      <c r="W98" s="1"/>
      <c r="X98" s="1"/>
    </row>
    <row r="99" spans="1:24" s="4" customFormat="1" ht="12.75" customHeight="1" thickBot="1">
      <c r="A99" s="1"/>
      <c r="B99" s="5"/>
      <c r="C99" s="123" t="s">
        <v>194</v>
      </c>
      <c r="D99" s="71"/>
      <c r="E99" s="71"/>
      <c r="F99" s="72"/>
      <c r="G99" s="73"/>
      <c r="H99" s="74"/>
      <c r="I99" s="33"/>
      <c r="J99" s="72"/>
      <c r="K99" s="33"/>
      <c r="L99" s="71"/>
      <c r="M99" s="73"/>
      <c r="N99" s="71"/>
      <c r="O99" s="73"/>
      <c r="P99" s="71"/>
      <c r="Q99" s="53"/>
      <c r="R99" s="50"/>
      <c r="T99" s="1"/>
      <c r="U99" s="1"/>
      <c r="V99" s="1"/>
      <c r="W99" s="1"/>
      <c r="X99" s="1"/>
    </row>
    <row r="100" spans="1:24" s="4" customFormat="1" ht="12.75" customHeight="1">
      <c r="A100" s="1"/>
      <c r="B100" s="5"/>
      <c r="C100" s="80"/>
      <c r="D100" s="6"/>
      <c r="E100" s="6"/>
      <c r="F100" s="10"/>
      <c r="G100" s="17"/>
      <c r="H100" s="13"/>
      <c r="I100" s="16"/>
      <c r="J100" s="10"/>
      <c r="K100" s="16"/>
      <c r="L100" s="6"/>
      <c r="M100" s="17"/>
      <c r="N100" s="6"/>
      <c r="O100" s="17"/>
      <c r="P100" s="6"/>
      <c r="Q100" s="53"/>
      <c r="R100" s="6"/>
      <c r="T100" s="1"/>
      <c r="U100" s="1"/>
      <c r="V100" s="1"/>
      <c r="W100" s="1"/>
      <c r="X100" s="1"/>
    </row>
    <row r="101" spans="1:24" s="4" customFormat="1" ht="12.75" customHeight="1">
      <c r="A101" s="1"/>
      <c r="B101" s="5"/>
      <c r="C101" s="183" t="s">
        <v>196</v>
      </c>
      <c r="D101" s="6"/>
      <c r="E101" s="6"/>
      <c r="F101" s="10"/>
      <c r="G101" s="17"/>
      <c r="H101" s="13"/>
      <c r="I101" s="16"/>
      <c r="J101" s="10"/>
      <c r="K101" s="16"/>
      <c r="L101" s="6"/>
      <c r="M101" s="17"/>
      <c r="N101" s="6"/>
      <c r="O101" s="17"/>
      <c r="P101" s="6"/>
      <c r="Q101" s="53"/>
      <c r="R101" s="6"/>
      <c r="T101" s="1"/>
      <c r="U101" s="1"/>
      <c r="V101" s="1"/>
      <c r="W101" s="1"/>
      <c r="X101" s="1"/>
    </row>
    <row r="102" spans="1:24" s="4" customFormat="1" ht="12.75" customHeight="1">
      <c r="A102" s="1"/>
      <c r="B102" s="5"/>
      <c r="C102" s="80"/>
      <c r="D102" s="6"/>
      <c r="E102" s="6"/>
      <c r="F102" s="10"/>
      <c r="G102" s="17"/>
      <c r="H102" s="13"/>
      <c r="I102" s="16"/>
      <c r="J102" s="10"/>
      <c r="K102" s="16"/>
      <c r="L102" s="6"/>
      <c r="M102" s="17"/>
      <c r="N102" s="6"/>
      <c r="O102" s="17"/>
      <c r="P102" s="6"/>
      <c r="Q102" s="53"/>
      <c r="R102" s="6"/>
      <c r="T102" s="1"/>
      <c r="U102" s="1"/>
      <c r="V102" s="1"/>
      <c r="W102" s="1"/>
      <c r="X102" s="1"/>
    </row>
    <row r="103" spans="1:24" s="4" customFormat="1" ht="12.75" customHeight="1">
      <c r="A103" s="1"/>
      <c r="B103" s="5"/>
      <c r="C103" s="11" t="s">
        <v>247</v>
      </c>
      <c r="D103" s="35">
        <f>L108</f>
        <v>1725000</v>
      </c>
      <c r="E103" s="78"/>
      <c r="F103" s="185" t="s">
        <v>28</v>
      </c>
      <c r="G103" s="17"/>
      <c r="H103" s="13"/>
      <c r="I103" s="16"/>
      <c r="J103" s="10"/>
      <c r="K103" s="16"/>
      <c r="L103" s="6"/>
      <c r="M103" s="17"/>
      <c r="N103" s="6"/>
      <c r="O103" s="17"/>
      <c r="P103" s="6"/>
      <c r="Q103" s="53"/>
      <c r="R103" s="6"/>
      <c r="T103" s="1"/>
      <c r="U103" s="1"/>
      <c r="V103" s="1"/>
      <c r="W103" s="1"/>
      <c r="X103" s="1"/>
    </row>
    <row r="104" spans="1:24" s="4" customFormat="1" ht="12.75">
      <c r="A104" s="1"/>
      <c r="B104" s="5"/>
      <c r="C104" s="93" t="s">
        <v>82</v>
      </c>
      <c r="D104" s="36">
        <f>P108</f>
        <v>115000</v>
      </c>
      <c r="E104" s="89"/>
      <c r="F104" s="68" t="s">
        <v>145</v>
      </c>
      <c r="G104" s="7"/>
      <c r="H104" s="24"/>
      <c r="I104" s="7"/>
      <c r="J104" s="24"/>
      <c r="K104" s="7"/>
      <c r="L104" s="24"/>
      <c r="P104" s="7"/>
      <c r="Q104" s="154"/>
      <c r="R104" s="16"/>
      <c r="T104" s="1"/>
      <c r="U104" s="1"/>
      <c r="V104" s="1"/>
      <c r="W104" s="1"/>
      <c r="X104" s="1"/>
    </row>
    <row r="105" spans="1:24" s="4" customFormat="1" ht="12.75">
      <c r="A105" s="1"/>
      <c r="B105" s="5"/>
      <c r="C105" s="18"/>
      <c r="D105" s="24"/>
      <c r="E105" s="7"/>
      <c r="F105" s="24"/>
      <c r="G105" s="7"/>
      <c r="H105" s="24"/>
      <c r="I105" s="7"/>
      <c r="J105" s="24"/>
      <c r="K105" s="7"/>
      <c r="L105" s="24"/>
      <c r="P105" s="7"/>
      <c r="Q105" s="154"/>
      <c r="R105" s="16"/>
      <c r="T105" s="1"/>
      <c r="U105" s="1"/>
      <c r="V105" s="1"/>
      <c r="W105" s="1"/>
      <c r="X105" s="1"/>
    </row>
    <row r="106" spans="1:24" s="4" customFormat="1" ht="13.5" customHeight="1">
      <c r="A106" s="1"/>
      <c r="B106" s="5"/>
      <c r="C106" s="81"/>
      <c r="D106" s="169"/>
      <c r="E106" s="170"/>
      <c r="F106" s="169"/>
      <c r="G106" s="170"/>
      <c r="H106" s="169"/>
      <c r="I106" s="170"/>
      <c r="J106" s="169"/>
      <c r="K106" s="170"/>
      <c r="L106" s="169"/>
      <c r="M106" s="95"/>
      <c r="N106" s="95"/>
      <c r="O106" s="95"/>
      <c r="P106" s="82"/>
      <c r="Q106" s="154"/>
      <c r="R106" s="16"/>
      <c r="T106" s="1"/>
      <c r="U106" s="1"/>
      <c r="V106" s="1"/>
      <c r="W106" s="1"/>
      <c r="X106" s="1"/>
    </row>
    <row r="107" spans="1:24" s="4" customFormat="1" ht="51">
      <c r="A107" s="1"/>
      <c r="B107" s="5"/>
      <c r="C107" s="109"/>
      <c r="D107" s="126" t="s">
        <v>131</v>
      </c>
      <c r="E107" s="132" t="s">
        <v>94</v>
      </c>
      <c r="F107" s="126" t="s">
        <v>307</v>
      </c>
      <c r="G107" s="164" t="s">
        <v>29</v>
      </c>
      <c r="H107" s="126" t="s">
        <v>138</v>
      </c>
      <c r="I107" s="126" t="s">
        <v>18</v>
      </c>
      <c r="J107" s="189" t="s">
        <v>139</v>
      </c>
      <c r="K107" s="164" t="s">
        <v>29</v>
      </c>
      <c r="L107" s="126" t="s">
        <v>142</v>
      </c>
      <c r="M107" s="132" t="s">
        <v>94</v>
      </c>
      <c r="N107" s="189" t="s">
        <v>140</v>
      </c>
      <c r="O107" s="158" t="s">
        <v>29</v>
      </c>
      <c r="P107" s="160" t="s">
        <v>141</v>
      </c>
      <c r="Q107" s="154"/>
      <c r="R107" s="16"/>
      <c r="T107" s="1"/>
      <c r="U107" s="1"/>
      <c r="V107" s="1"/>
      <c r="W107" s="1"/>
      <c r="X107" s="1"/>
    </row>
    <row r="108" spans="1:24" s="4" customFormat="1" ht="13.5" customHeight="1">
      <c r="A108" s="1"/>
      <c r="B108" s="5"/>
      <c r="C108" s="109"/>
      <c r="D108" s="161">
        <f>J93</f>
        <v>75000</v>
      </c>
      <c r="E108" s="7"/>
      <c r="F108" s="161">
        <v>1000</v>
      </c>
      <c r="G108" s="7"/>
      <c r="H108" s="163">
        <f>D108/F108</f>
        <v>75</v>
      </c>
      <c r="I108" s="7"/>
      <c r="J108" s="332">
        <v>23000</v>
      </c>
      <c r="K108" s="7"/>
      <c r="L108" s="8">
        <f>H108*J108</f>
        <v>1725000</v>
      </c>
      <c r="N108" s="333">
        <v>15</v>
      </c>
      <c r="P108" s="97">
        <f>L108/N108</f>
        <v>115000</v>
      </c>
      <c r="Q108" s="154"/>
      <c r="R108" s="16"/>
      <c r="T108" s="1"/>
      <c r="U108" s="1"/>
      <c r="V108" s="1"/>
      <c r="W108" s="1"/>
      <c r="X108" s="1"/>
    </row>
    <row r="109" spans="1:24" s="4" customFormat="1" ht="13.5" customHeight="1">
      <c r="A109" s="1"/>
      <c r="B109" s="5"/>
      <c r="C109" s="166"/>
      <c r="D109" s="167"/>
      <c r="E109" s="15"/>
      <c r="F109" s="167"/>
      <c r="G109" s="15"/>
      <c r="H109" s="167"/>
      <c r="I109" s="15"/>
      <c r="J109" s="167"/>
      <c r="K109" s="15"/>
      <c r="L109" s="167"/>
      <c r="M109" s="101"/>
      <c r="N109" s="101"/>
      <c r="O109" s="101"/>
      <c r="P109" s="168"/>
      <c r="Q109" s="154"/>
      <c r="R109" s="16"/>
      <c r="T109" s="1"/>
      <c r="U109" s="1"/>
      <c r="V109" s="1"/>
      <c r="W109" s="1"/>
      <c r="X109" s="1"/>
    </row>
    <row r="110" spans="1:24" s="4" customFormat="1" ht="13.5" customHeight="1">
      <c r="A110" s="1"/>
      <c r="B110" s="5"/>
      <c r="C110" s="18"/>
      <c r="D110" s="24"/>
      <c r="E110" s="7"/>
      <c r="F110" s="24"/>
      <c r="G110" s="7"/>
      <c r="H110" s="24"/>
      <c r="I110" s="7"/>
      <c r="J110" s="24"/>
      <c r="K110" s="7"/>
      <c r="L110" s="24"/>
      <c r="P110" s="7"/>
      <c r="Q110" s="154"/>
      <c r="R110" s="16"/>
      <c r="T110" s="1"/>
      <c r="U110" s="1"/>
      <c r="V110" s="1"/>
      <c r="W110" s="1"/>
      <c r="X110" s="1"/>
    </row>
    <row r="111" spans="1:24" s="4" customFormat="1" ht="15">
      <c r="A111" s="1"/>
      <c r="B111" s="5"/>
      <c r="C111" s="183" t="s">
        <v>197</v>
      </c>
      <c r="E111" s="6"/>
      <c r="F111" s="10"/>
      <c r="G111" s="17"/>
      <c r="H111" s="13"/>
      <c r="I111" s="16"/>
      <c r="J111" s="10"/>
      <c r="K111" s="16"/>
      <c r="L111" s="13"/>
      <c r="M111" s="17"/>
      <c r="O111" s="17"/>
      <c r="P111" s="6"/>
      <c r="Q111" s="53"/>
      <c r="R111" s="6"/>
      <c r="T111" s="1"/>
      <c r="U111" s="1"/>
      <c r="V111" s="1"/>
      <c r="W111" s="1"/>
      <c r="X111" s="1"/>
    </row>
    <row r="112" spans="1:24" s="4" customFormat="1" ht="12.75">
      <c r="A112" s="1"/>
      <c r="B112" s="5"/>
      <c r="C112" s="49"/>
      <c r="E112" s="6"/>
      <c r="F112" s="10"/>
      <c r="G112" s="17"/>
      <c r="H112" s="13"/>
      <c r="I112" s="16"/>
      <c r="J112" s="10"/>
      <c r="K112" s="16"/>
      <c r="L112" s="13"/>
      <c r="M112" s="17"/>
      <c r="O112" s="17"/>
      <c r="P112" s="6"/>
      <c r="Q112" s="53"/>
      <c r="R112" s="6"/>
      <c r="T112" s="1"/>
      <c r="U112" s="1"/>
      <c r="V112" s="1"/>
      <c r="W112" s="1"/>
      <c r="X112" s="1"/>
    </row>
    <row r="113" spans="1:24" s="4" customFormat="1" ht="12.75" customHeight="1">
      <c r="A113" s="1"/>
      <c r="B113" s="5"/>
      <c r="C113" s="4" t="s">
        <v>62</v>
      </c>
      <c r="D113" s="6">
        <f>N122</f>
        <v>1260</v>
      </c>
      <c r="E113" s="6"/>
      <c r="F113" s="43" t="s">
        <v>109</v>
      </c>
      <c r="G113" s="17"/>
      <c r="H113" s="13"/>
      <c r="I113" s="16"/>
      <c r="J113" s="10"/>
      <c r="K113" s="16"/>
      <c r="L113" s="6"/>
      <c r="M113" s="17"/>
      <c r="N113" s="6"/>
      <c r="O113" s="17"/>
      <c r="P113" s="6"/>
      <c r="Q113" s="53"/>
      <c r="R113" s="6"/>
      <c r="T113" s="1"/>
      <c r="U113" s="1"/>
      <c r="V113" s="1"/>
      <c r="W113" s="1"/>
      <c r="X113" s="1"/>
    </row>
    <row r="114" spans="1:24" s="4" customFormat="1" ht="12.75" customHeight="1">
      <c r="A114" s="1"/>
      <c r="B114" s="5"/>
      <c r="C114" s="4" t="s">
        <v>61</v>
      </c>
      <c r="D114" s="6">
        <f>H142</f>
        <v>1000</v>
      </c>
      <c r="E114" s="6"/>
      <c r="F114" s="43" t="s">
        <v>193</v>
      </c>
      <c r="G114" s="17"/>
      <c r="H114" s="13"/>
      <c r="I114" s="16"/>
      <c r="J114" s="10"/>
      <c r="K114" s="16"/>
      <c r="L114" s="6"/>
      <c r="M114" s="17"/>
      <c r="N114" s="6"/>
      <c r="O114" s="17"/>
      <c r="P114" s="6"/>
      <c r="Q114" s="53"/>
      <c r="R114" s="6"/>
      <c r="T114" s="1"/>
      <c r="U114" s="1"/>
      <c r="V114" s="1"/>
      <c r="W114" s="1"/>
      <c r="X114" s="1"/>
    </row>
    <row r="115" spans="1:24" s="4" customFormat="1" ht="12.75" customHeight="1">
      <c r="A115" s="1"/>
      <c r="B115" s="5"/>
      <c r="D115" s="6"/>
      <c r="E115" s="6"/>
      <c r="F115" s="10"/>
      <c r="G115" s="17"/>
      <c r="H115" s="13"/>
      <c r="I115" s="16"/>
      <c r="J115" s="10"/>
      <c r="K115" s="16"/>
      <c r="L115" s="6"/>
      <c r="M115" s="17"/>
      <c r="N115" s="6"/>
      <c r="O115" s="17"/>
      <c r="P115" s="6"/>
      <c r="Q115" s="53"/>
      <c r="R115" s="6"/>
      <c r="T115" s="1"/>
      <c r="U115" s="1"/>
      <c r="V115" s="1"/>
      <c r="W115" s="1"/>
      <c r="X115" s="1"/>
    </row>
    <row r="116" spans="1:24" s="4" customFormat="1" ht="12.75" customHeight="1">
      <c r="A116" s="1"/>
      <c r="B116" s="5"/>
      <c r="C116" s="11" t="s">
        <v>63</v>
      </c>
      <c r="D116" s="78">
        <f>MAX(D113:D114)</f>
        <v>1260</v>
      </c>
      <c r="E116" s="78"/>
      <c r="F116" s="185" t="s">
        <v>64</v>
      </c>
      <c r="G116" s="17"/>
      <c r="H116" s="13"/>
      <c r="I116" s="16"/>
      <c r="J116" s="10"/>
      <c r="K116" s="16"/>
      <c r="L116" s="6"/>
      <c r="M116" s="17"/>
      <c r="N116" s="6"/>
      <c r="O116" s="17"/>
      <c r="P116" s="6"/>
      <c r="Q116" s="53"/>
      <c r="R116" s="6"/>
      <c r="T116" s="1"/>
      <c r="U116" s="1"/>
      <c r="V116" s="1"/>
      <c r="W116" s="1"/>
      <c r="X116" s="1"/>
    </row>
    <row r="117" spans="1:24" s="4" customFormat="1" ht="12.75" customHeight="1">
      <c r="A117" s="1"/>
      <c r="B117" s="5"/>
      <c r="C117" s="105"/>
      <c r="E117" s="6"/>
      <c r="F117" s="28"/>
      <c r="G117" s="17"/>
      <c r="H117" s="13"/>
      <c r="I117" s="16"/>
      <c r="J117" s="10"/>
      <c r="K117" s="16"/>
      <c r="L117" s="13"/>
      <c r="M117" s="17"/>
      <c r="O117" s="17"/>
      <c r="P117" s="6"/>
      <c r="Q117" s="53"/>
      <c r="R117" s="50"/>
      <c r="T117" s="1"/>
      <c r="U117" s="1"/>
      <c r="V117" s="1"/>
      <c r="W117" s="1"/>
      <c r="X117" s="1"/>
    </row>
    <row r="118" spans="1:24" s="4" customFormat="1" ht="12.75" customHeight="1">
      <c r="A118" s="1"/>
      <c r="B118" s="5"/>
      <c r="C118" s="136"/>
      <c r="D118" s="95"/>
      <c r="E118" s="112"/>
      <c r="F118" s="137"/>
      <c r="G118" s="113"/>
      <c r="H118" s="114"/>
      <c r="I118" s="115"/>
      <c r="J118" s="116"/>
      <c r="K118" s="115"/>
      <c r="L118" s="114"/>
      <c r="M118" s="113"/>
      <c r="N118" s="95"/>
      <c r="O118" s="113"/>
      <c r="P118" s="117"/>
      <c r="Q118" s="53"/>
      <c r="R118" s="50"/>
      <c r="T118" s="1"/>
      <c r="U118" s="1"/>
      <c r="V118" s="1"/>
      <c r="W118" s="1"/>
      <c r="X118" s="1"/>
    </row>
    <row r="119" spans="1:24" s="4" customFormat="1" ht="12.75" customHeight="1">
      <c r="A119" s="1"/>
      <c r="B119" s="5"/>
      <c r="C119" s="138" t="s">
        <v>190</v>
      </c>
      <c r="E119" s="6"/>
      <c r="F119" s="28"/>
      <c r="G119" s="17"/>
      <c r="H119" s="13"/>
      <c r="I119" s="16"/>
      <c r="J119" s="10"/>
      <c r="K119" s="16"/>
      <c r="L119" s="13"/>
      <c r="M119" s="17"/>
      <c r="O119" s="17"/>
      <c r="P119" s="118"/>
      <c r="Q119" s="53"/>
      <c r="R119" s="50"/>
      <c r="T119" s="1"/>
      <c r="U119" s="1"/>
      <c r="V119" s="1"/>
      <c r="W119" s="1"/>
      <c r="X119" s="1"/>
    </row>
    <row r="120" spans="1:24" s="4" customFormat="1" ht="12.75" customHeight="1">
      <c r="A120" s="1"/>
      <c r="B120" s="5"/>
      <c r="C120" s="138"/>
      <c r="E120" s="6"/>
      <c r="F120" s="28"/>
      <c r="G120" s="17"/>
      <c r="H120" s="13"/>
      <c r="I120" s="16"/>
      <c r="J120" s="10"/>
      <c r="K120" s="16"/>
      <c r="L120" s="13"/>
      <c r="M120" s="17"/>
      <c r="O120" s="17"/>
      <c r="P120" s="118"/>
      <c r="Q120" s="53"/>
      <c r="R120" s="50"/>
      <c r="T120" s="1"/>
      <c r="U120" s="1"/>
      <c r="V120" s="1"/>
      <c r="W120" s="1"/>
      <c r="X120" s="1"/>
    </row>
    <row r="121" spans="1:24" s="4" customFormat="1" ht="51">
      <c r="A121" s="1"/>
      <c r="B121" s="5"/>
      <c r="C121" s="138"/>
      <c r="D121" s="60" t="s">
        <v>30</v>
      </c>
      <c r="E121" s="6" t="s">
        <v>18</v>
      </c>
      <c r="F121" s="60" t="s">
        <v>240</v>
      </c>
      <c r="G121" s="4" t="s">
        <v>29</v>
      </c>
      <c r="H121" s="60" t="s">
        <v>101</v>
      </c>
      <c r="I121" s="16"/>
      <c r="J121" s="132" t="s">
        <v>94</v>
      </c>
      <c r="L121" s="194" t="s">
        <v>177</v>
      </c>
      <c r="M121" s="16" t="s">
        <v>29</v>
      </c>
      <c r="N121" s="60" t="s">
        <v>103</v>
      </c>
      <c r="P121" s="107"/>
      <c r="Q121" s="53"/>
      <c r="R121" s="50"/>
      <c r="T121" s="1"/>
      <c r="U121" s="1"/>
      <c r="V121" s="1"/>
      <c r="W121" s="1"/>
      <c r="X121" s="1"/>
    </row>
    <row r="122" spans="1:24" s="4" customFormat="1" ht="12.75" customHeight="1">
      <c r="A122" s="1"/>
      <c r="B122" s="5"/>
      <c r="C122" s="182" t="s">
        <v>336</v>
      </c>
      <c r="D122" s="58">
        <f aca="true" t="shared" si="6" ref="D122:D129">H31</f>
        <v>1000</v>
      </c>
      <c r="E122" s="6"/>
      <c r="F122" s="58">
        <f aca="true" t="shared" si="7" ref="F122:F129">F85</f>
        <v>150</v>
      </c>
      <c r="H122" s="58">
        <f aca="true" t="shared" si="8" ref="H122:H129">D122*F122</f>
        <v>150000</v>
      </c>
      <c r="I122" s="16"/>
      <c r="L122" s="313">
        <f>5000/42</f>
        <v>119.04761904761905</v>
      </c>
      <c r="M122" s="16"/>
      <c r="N122" s="141">
        <f>ROUNDUP(H130/L122,0)</f>
        <v>1260</v>
      </c>
      <c r="P122" s="107"/>
      <c r="Q122" s="53"/>
      <c r="R122" s="50"/>
      <c r="T122" s="1"/>
      <c r="U122" s="1"/>
      <c r="V122" s="1"/>
      <c r="W122" s="1"/>
      <c r="X122" s="1"/>
    </row>
    <row r="123" spans="1:24" s="4" customFormat="1" ht="12.75" customHeight="1">
      <c r="A123" s="1"/>
      <c r="B123" s="5"/>
      <c r="C123" s="182" t="s">
        <v>337</v>
      </c>
      <c r="D123" s="58">
        <f t="shared" si="6"/>
        <v>0</v>
      </c>
      <c r="E123" s="6"/>
      <c r="F123" s="58">
        <f t="shared" si="7"/>
        <v>240</v>
      </c>
      <c r="H123" s="58">
        <f t="shared" si="8"/>
        <v>0</v>
      </c>
      <c r="I123" s="16"/>
      <c r="P123" s="107"/>
      <c r="Q123" s="53"/>
      <c r="R123" s="50"/>
      <c r="T123" s="1"/>
      <c r="U123" s="1"/>
      <c r="V123" s="1"/>
      <c r="W123" s="1"/>
      <c r="X123" s="1"/>
    </row>
    <row r="124" spans="1:24" s="4" customFormat="1" ht="12.75" customHeight="1">
      <c r="A124" s="1"/>
      <c r="B124" s="5"/>
      <c r="C124" s="182" t="s">
        <v>338</v>
      </c>
      <c r="D124" s="58">
        <f t="shared" si="6"/>
        <v>0</v>
      </c>
      <c r="E124" s="6"/>
      <c r="F124" s="58">
        <f t="shared" si="7"/>
        <v>391</v>
      </c>
      <c r="H124" s="58">
        <f t="shared" si="8"/>
        <v>0</v>
      </c>
      <c r="I124" s="16"/>
      <c r="M124" s="17"/>
      <c r="O124" s="17"/>
      <c r="P124" s="107"/>
      <c r="Q124" s="53"/>
      <c r="R124" s="50"/>
      <c r="T124" s="1"/>
      <c r="U124" s="1"/>
      <c r="V124" s="1"/>
      <c r="W124" s="1"/>
      <c r="X124" s="1"/>
    </row>
    <row r="125" spans="1:24" s="4" customFormat="1" ht="12.75" customHeight="1">
      <c r="A125" s="1"/>
      <c r="B125" s="5"/>
      <c r="C125" s="182" t="s">
        <v>377</v>
      </c>
      <c r="D125" s="58">
        <f t="shared" si="6"/>
        <v>0</v>
      </c>
      <c r="E125" s="6"/>
      <c r="F125" s="58">
        <f t="shared" si="7"/>
        <v>405</v>
      </c>
      <c r="H125" s="58">
        <f>D125*F125</f>
        <v>0</v>
      </c>
      <c r="I125" s="16"/>
      <c r="M125" s="17"/>
      <c r="O125" s="17"/>
      <c r="P125" s="107"/>
      <c r="Q125" s="53"/>
      <c r="R125" s="50"/>
      <c r="T125" s="1"/>
      <c r="U125" s="1"/>
      <c r="V125" s="1"/>
      <c r="W125" s="1"/>
      <c r="X125" s="1"/>
    </row>
    <row r="126" spans="1:24" s="4" customFormat="1" ht="12.75" customHeight="1">
      <c r="A126" s="1"/>
      <c r="B126" s="5"/>
      <c r="C126" s="182" t="s">
        <v>334</v>
      </c>
      <c r="D126" s="58">
        <f t="shared" si="6"/>
        <v>0</v>
      </c>
      <c r="E126" s="6"/>
      <c r="F126" s="58">
        <f t="shared" si="7"/>
        <v>515</v>
      </c>
      <c r="H126" s="58">
        <f t="shared" si="8"/>
        <v>0</v>
      </c>
      <c r="I126" s="16"/>
      <c r="M126" s="17"/>
      <c r="O126" s="17"/>
      <c r="P126" s="107"/>
      <c r="Q126" s="53"/>
      <c r="R126" s="50"/>
      <c r="T126" s="1"/>
      <c r="U126" s="1"/>
      <c r="V126" s="1"/>
      <c r="W126" s="1"/>
      <c r="X126" s="1"/>
    </row>
    <row r="127" spans="1:24" s="4" customFormat="1" ht="12.75" customHeight="1">
      <c r="A127" s="1"/>
      <c r="B127" s="5"/>
      <c r="C127" s="182" t="s">
        <v>335</v>
      </c>
      <c r="D127" s="58">
        <f t="shared" si="6"/>
        <v>0</v>
      </c>
      <c r="E127" s="6"/>
      <c r="F127" s="58">
        <f t="shared" si="7"/>
        <v>630</v>
      </c>
      <c r="H127" s="58">
        <f t="shared" si="8"/>
        <v>0</v>
      </c>
      <c r="I127" s="16"/>
      <c r="M127" s="17"/>
      <c r="O127" s="17"/>
      <c r="P127" s="107"/>
      <c r="Q127" s="53"/>
      <c r="R127" s="50"/>
      <c r="T127" s="1"/>
      <c r="U127" s="1"/>
      <c r="V127" s="1"/>
      <c r="W127" s="1"/>
      <c r="X127" s="1"/>
    </row>
    <row r="128" spans="1:24" s="4" customFormat="1" ht="12.75" customHeight="1">
      <c r="A128" s="1"/>
      <c r="B128" s="5"/>
      <c r="C128" s="182" t="s">
        <v>339</v>
      </c>
      <c r="D128" s="58">
        <f t="shared" si="6"/>
        <v>0</v>
      </c>
      <c r="E128" s="6"/>
      <c r="F128" s="58">
        <f t="shared" si="7"/>
        <v>289</v>
      </c>
      <c r="H128" s="58">
        <f t="shared" si="8"/>
        <v>0</v>
      </c>
      <c r="I128" s="16"/>
      <c r="J128" s="10"/>
      <c r="K128" s="16"/>
      <c r="M128" s="17"/>
      <c r="O128" s="17"/>
      <c r="P128" s="107"/>
      <c r="Q128" s="53"/>
      <c r="R128" s="50"/>
      <c r="T128" s="1"/>
      <c r="U128" s="1"/>
      <c r="V128" s="1"/>
      <c r="W128" s="1"/>
      <c r="X128" s="1"/>
    </row>
    <row r="129" spans="1:24" s="4" customFormat="1" ht="12.75" customHeight="1">
      <c r="A129" s="1"/>
      <c r="B129" s="5"/>
      <c r="C129" s="182" t="s">
        <v>340</v>
      </c>
      <c r="D129" s="135">
        <f t="shared" si="6"/>
        <v>0</v>
      </c>
      <c r="E129" s="6"/>
      <c r="F129" s="58">
        <f t="shared" si="7"/>
        <v>309</v>
      </c>
      <c r="H129" s="135">
        <f t="shared" si="8"/>
        <v>0</v>
      </c>
      <c r="I129" s="16"/>
      <c r="M129" s="17"/>
      <c r="O129" s="17"/>
      <c r="P129" s="107"/>
      <c r="Q129" s="53"/>
      <c r="R129" s="50"/>
      <c r="T129" s="1"/>
      <c r="U129" s="1"/>
      <c r="V129" s="1"/>
      <c r="W129" s="1"/>
      <c r="X129" s="1"/>
    </row>
    <row r="130" spans="1:24" s="4" customFormat="1" ht="12.75" customHeight="1">
      <c r="A130" s="1"/>
      <c r="B130" s="5"/>
      <c r="C130" s="138"/>
      <c r="D130" s="58">
        <f>SUM(D122:D129)</f>
        <v>1000</v>
      </c>
      <c r="E130" s="6"/>
      <c r="F130" s="58"/>
      <c r="G130" s="17"/>
      <c r="H130" s="142">
        <f>SUM(H122:H129)</f>
        <v>150000</v>
      </c>
      <c r="I130" s="16"/>
      <c r="M130" s="17"/>
      <c r="O130" s="17"/>
      <c r="P130" s="118"/>
      <c r="Q130" s="53"/>
      <c r="R130" s="50"/>
      <c r="T130" s="1"/>
      <c r="U130" s="1"/>
      <c r="V130" s="1"/>
      <c r="W130" s="1"/>
      <c r="X130" s="1"/>
    </row>
    <row r="131" spans="1:24" s="4" customFormat="1" ht="12.75" customHeight="1">
      <c r="A131" s="1"/>
      <c r="B131" s="5"/>
      <c r="C131" s="138"/>
      <c r="E131" s="6"/>
      <c r="F131" s="28"/>
      <c r="G131" s="17"/>
      <c r="H131" s="13"/>
      <c r="I131" s="16"/>
      <c r="J131" s="10"/>
      <c r="K131" s="16"/>
      <c r="L131" s="13"/>
      <c r="M131" s="17"/>
      <c r="O131" s="17"/>
      <c r="P131" s="118"/>
      <c r="Q131" s="53"/>
      <c r="R131" s="50"/>
      <c r="T131" s="1"/>
      <c r="U131" s="1"/>
      <c r="V131" s="1"/>
      <c r="W131" s="1"/>
      <c r="X131" s="1"/>
    </row>
    <row r="132" spans="1:24" s="4" customFormat="1" ht="12.75" customHeight="1">
      <c r="A132" s="1"/>
      <c r="B132" s="5"/>
      <c r="C132" s="138"/>
      <c r="E132" s="6"/>
      <c r="F132" s="28"/>
      <c r="G132" s="17"/>
      <c r="H132" s="13"/>
      <c r="I132" s="16"/>
      <c r="J132" s="10"/>
      <c r="K132" s="16"/>
      <c r="L132" s="13"/>
      <c r="M132" s="17"/>
      <c r="O132" s="17"/>
      <c r="P132" s="118"/>
      <c r="Q132" s="53"/>
      <c r="R132" s="50"/>
      <c r="T132" s="1"/>
      <c r="U132" s="1"/>
      <c r="V132" s="1"/>
      <c r="W132" s="1"/>
      <c r="X132" s="1"/>
    </row>
    <row r="133" spans="1:24" s="4" customFormat="1" ht="25.5">
      <c r="A133" s="1"/>
      <c r="B133" s="5"/>
      <c r="C133" s="138"/>
      <c r="D133" s="60" t="s">
        <v>30</v>
      </c>
      <c r="E133" s="6" t="s">
        <v>18</v>
      </c>
      <c r="F133" s="204" t="s">
        <v>102</v>
      </c>
      <c r="G133" s="4" t="s">
        <v>29</v>
      </c>
      <c r="H133" s="60" t="s">
        <v>103</v>
      </c>
      <c r="I133" s="16"/>
      <c r="J133" s="10"/>
      <c r="K133" s="16"/>
      <c r="L133" s="378" t="s">
        <v>104</v>
      </c>
      <c r="M133" s="17"/>
      <c r="O133" s="17"/>
      <c r="P133" s="118"/>
      <c r="Q133" s="53"/>
      <c r="R133" s="50"/>
      <c r="T133" s="1"/>
      <c r="U133" s="1"/>
      <c r="V133" s="1"/>
      <c r="W133" s="1"/>
      <c r="X133" s="1"/>
    </row>
    <row r="134" spans="1:24" s="4" customFormat="1" ht="12.75" customHeight="1">
      <c r="A134" s="1"/>
      <c r="B134" s="5"/>
      <c r="C134" s="182" t="s">
        <v>336</v>
      </c>
      <c r="D134" s="58">
        <f aca="true" t="shared" si="9" ref="D134:D141">H31</f>
        <v>1000</v>
      </c>
      <c r="E134" s="6"/>
      <c r="F134" s="313">
        <v>1</v>
      </c>
      <c r="H134" s="58">
        <f aca="true" t="shared" si="10" ref="H134:H141">D134*F134</f>
        <v>1000</v>
      </c>
      <c r="I134" s="16"/>
      <c r="J134" s="10"/>
      <c r="K134" s="16"/>
      <c r="L134" s="379">
        <f>MAX(H142,N122)</f>
        <v>1260</v>
      </c>
      <c r="M134" s="17"/>
      <c r="O134" s="17"/>
      <c r="P134" s="118"/>
      <c r="Q134" s="53"/>
      <c r="R134" s="50"/>
      <c r="T134" s="1"/>
      <c r="U134" s="1"/>
      <c r="V134" s="1"/>
      <c r="W134" s="1"/>
      <c r="X134" s="1"/>
    </row>
    <row r="135" spans="1:24" s="4" customFormat="1" ht="12.75" customHeight="1">
      <c r="A135" s="1"/>
      <c r="B135" s="5"/>
      <c r="C135" s="182" t="s">
        <v>337</v>
      </c>
      <c r="D135" s="58">
        <f t="shared" si="9"/>
        <v>0</v>
      </c>
      <c r="E135" s="6"/>
      <c r="F135" s="313">
        <v>2</v>
      </c>
      <c r="H135" s="58">
        <f t="shared" si="10"/>
        <v>0</v>
      </c>
      <c r="I135" s="16"/>
      <c r="J135" s="10"/>
      <c r="K135" s="16"/>
      <c r="L135" s="380" t="s">
        <v>333</v>
      </c>
      <c r="M135" s="17"/>
      <c r="O135" s="17"/>
      <c r="P135" s="118"/>
      <c r="Q135" s="53"/>
      <c r="R135" s="50"/>
      <c r="T135" s="1"/>
      <c r="U135" s="1"/>
      <c r="V135" s="1"/>
      <c r="W135" s="1"/>
      <c r="X135" s="1"/>
    </row>
    <row r="136" spans="1:24" s="4" customFormat="1" ht="12.75" customHeight="1">
      <c r="A136" s="1"/>
      <c r="B136" s="5"/>
      <c r="C136" s="182" t="s">
        <v>338</v>
      </c>
      <c r="D136" s="58">
        <f t="shared" si="9"/>
        <v>0</v>
      </c>
      <c r="E136" s="6"/>
      <c r="F136" s="313">
        <v>2</v>
      </c>
      <c r="H136" s="58">
        <f t="shared" si="10"/>
        <v>0</v>
      </c>
      <c r="I136" s="16"/>
      <c r="J136" s="10"/>
      <c r="K136" s="16"/>
      <c r="L136" s="13"/>
      <c r="M136" s="17"/>
      <c r="O136" s="17"/>
      <c r="P136" s="118"/>
      <c r="Q136" s="53"/>
      <c r="R136" s="50"/>
      <c r="T136" s="1"/>
      <c r="U136" s="1"/>
      <c r="V136" s="1"/>
      <c r="W136" s="1"/>
      <c r="X136" s="1"/>
    </row>
    <row r="137" spans="1:24" s="4" customFormat="1" ht="12.75" customHeight="1">
      <c r="A137" s="1"/>
      <c r="B137" s="5"/>
      <c r="C137" s="182" t="s">
        <v>377</v>
      </c>
      <c r="D137" s="58">
        <f t="shared" si="9"/>
        <v>0</v>
      </c>
      <c r="E137" s="6"/>
      <c r="F137" s="313">
        <v>2</v>
      </c>
      <c r="H137" s="58">
        <f t="shared" si="10"/>
        <v>0</v>
      </c>
      <c r="I137" s="16"/>
      <c r="J137" s="10"/>
      <c r="K137" s="16"/>
      <c r="L137" s="13"/>
      <c r="M137" s="17"/>
      <c r="O137" s="17"/>
      <c r="P137" s="118"/>
      <c r="Q137" s="53"/>
      <c r="R137" s="50"/>
      <c r="T137" s="1"/>
      <c r="U137" s="1"/>
      <c r="V137" s="1"/>
      <c r="W137" s="1"/>
      <c r="X137" s="1"/>
    </row>
    <row r="138" spans="1:24" s="4" customFormat="1" ht="12.75" customHeight="1">
      <c r="A138" s="1"/>
      <c r="B138" s="5"/>
      <c r="C138" s="182" t="s">
        <v>334</v>
      </c>
      <c r="D138" s="58">
        <f t="shared" si="9"/>
        <v>0</v>
      </c>
      <c r="E138" s="6"/>
      <c r="F138" s="313">
        <v>2</v>
      </c>
      <c r="H138" s="58">
        <f t="shared" si="10"/>
        <v>0</v>
      </c>
      <c r="I138" s="16"/>
      <c r="J138" s="10"/>
      <c r="K138" s="16"/>
      <c r="L138" s="13"/>
      <c r="M138" s="17"/>
      <c r="O138" s="17"/>
      <c r="P138" s="118"/>
      <c r="Q138" s="53"/>
      <c r="R138" s="50"/>
      <c r="T138" s="1"/>
      <c r="U138" s="1"/>
      <c r="V138" s="1"/>
      <c r="W138" s="1"/>
      <c r="X138" s="1"/>
    </row>
    <row r="139" spans="1:24" s="4" customFormat="1" ht="12.75" customHeight="1">
      <c r="A139" s="1"/>
      <c r="B139" s="5"/>
      <c r="C139" s="182" t="s">
        <v>335</v>
      </c>
      <c r="D139" s="58">
        <f t="shared" si="9"/>
        <v>0</v>
      </c>
      <c r="E139" s="6"/>
      <c r="F139" s="313">
        <v>2</v>
      </c>
      <c r="H139" s="58">
        <f t="shared" si="10"/>
        <v>0</v>
      </c>
      <c r="I139" s="16"/>
      <c r="J139" s="10"/>
      <c r="K139" s="16"/>
      <c r="L139" s="13"/>
      <c r="M139" s="17"/>
      <c r="O139" s="17"/>
      <c r="P139" s="118"/>
      <c r="Q139" s="53"/>
      <c r="R139" s="50"/>
      <c r="T139" s="1"/>
      <c r="U139" s="1"/>
      <c r="V139" s="1"/>
      <c r="W139" s="1"/>
      <c r="X139" s="1"/>
    </row>
    <row r="140" spans="1:24" s="4" customFormat="1" ht="12.75" customHeight="1">
      <c r="A140" s="1"/>
      <c r="B140" s="5"/>
      <c r="C140" s="182" t="s">
        <v>339</v>
      </c>
      <c r="D140" s="58">
        <f t="shared" si="9"/>
        <v>0</v>
      </c>
      <c r="E140" s="6"/>
      <c r="F140" s="313">
        <v>1</v>
      </c>
      <c r="H140" s="58">
        <f t="shared" si="10"/>
        <v>0</v>
      </c>
      <c r="I140" s="16"/>
      <c r="J140" s="10"/>
      <c r="K140" s="16"/>
      <c r="L140" s="13"/>
      <c r="M140" s="17"/>
      <c r="O140" s="17"/>
      <c r="P140" s="118"/>
      <c r="Q140" s="53"/>
      <c r="R140" s="50"/>
      <c r="T140" s="1"/>
      <c r="U140" s="1"/>
      <c r="V140" s="1"/>
      <c r="W140" s="1"/>
      <c r="X140" s="1"/>
    </row>
    <row r="141" spans="1:24" s="4" customFormat="1" ht="12.75" customHeight="1">
      <c r="A141" s="1"/>
      <c r="B141" s="5"/>
      <c r="C141" s="182" t="s">
        <v>340</v>
      </c>
      <c r="D141" s="135">
        <f t="shared" si="9"/>
        <v>0</v>
      </c>
      <c r="E141" s="6"/>
      <c r="F141" s="313">
        <v>2</v>
      </c>
      <c r="H141" s="135">
        <f t="shared" si="10"/>
        <v>0</v>
      </c>
      <c r="I141" s="16"/>
      <c r="J141" s="10"/>
      <c r="K141" s="16"/>
      <c r="L141" s="13"/>
      <c r="M141" s="17"/>
      <c r="O141" s="17"/>
      <c r="P141" s="118"/>
      <c r="Q141" s="53"/>
      <c r="R141" s="50"/>
      <c r="T141" s="1"/>
      <c r="U141" s="1"/>
      <c r="V141" s="1"/>
      <c r="W141" s="1"/>
      <c r="X141" s="1"/>
    </row>
    <row r="142" spans="1:24" s="4" customFormat="1" ht="12.75" customHeight="1">
      <c r="A142" s="1"/>
      <c r="B142" s="5"/>
      <c r="C142" s="138"/>
      <c r="D142" s="58">
        <f>SUM(D134:D141)</f>
        <v>1000</v>
      </c>
      <c r="E142" s="6"/>
      <c r="F142" s="28"/>
      <c r="G142" s="17"/>
      <c r="H142" s="141">
        <f>SUM(H134:H141)</f>
        <v>1000</v>
      </c>
      <c r="I142" s="16"/>
      <c r="J142" s="10"/>
      <c r="K142" s="16"/>
      <c r="L142" s="13"/>
      <c r="M142" s="17"/>
      <c r="O142" s="17"/>
      <c r="P142" s="118"/>
      <c r="Q142" s="53"/>
      <c r="R142" s="50"/>
      <c r="T142" s="1"/>
      <c r="U142" s="1"/>
      <c r="V142" s="1"/>
      <c r="W142" s="1"/>
      <c r="X142" s="1"/>
    </row>
    <row r="143" spans="1:24" s="4" customFormat="1" ht="12.75" customHeight="1">
      <c r="A143" s="1"/>
      <c r="B143" s="5"/>
      <c r="C143" s="138"/>
      <c r="D143" s="58"/>
      <c r="E143" s="6"/>
      <c r="F143" s="28"/>
      <c r="G143" s="17"/>
      <c r="H143" s="141"/>
      <c r="I143" s="16"/>
      <c r="J143" s="10"/>
      <c r="K143" s="16"/>
      <c r="L143" s="13"/>
      <c r="M143" s="17"/>
      <c r="O143" s="17"/>
      <c r="P143" s="118"/>
      <c r="Q143" s="53"/>
      <c r="R143" s="50"/>
      <c r="T143" s="1"/>
      <c r="U143" s="1"/>
      <c r="V143" s="1"/>
      <c r="W143" s="1"/>
      <c r="X143" s="1"/>
    </row>
    <row r="144" spans="1:24" s="4" customFormat="1" ht="12.75" customHeight="1">
      <c r="A144" s="1"/>
      <c r="B144" s="5"/>
      <c r="C144" s="138"/>
      <c r="D144" s="69" t="s">
        <v>239</v>
      </c>
      <c r="E144" s="6"/>
      <c r="F144" s="28"/>
      <c r="G144" s="17"/>
      <c r="H144" s="141"/>
      <c r="I144" s="16"/>
      <c r="J144" s="10"/>
      <c r="K144" s="16"/>
      <c r="L144" s="13"/>
      <c r="M144" s="17"/>
      <c r="O144" s="17"/>
      <c r="P144" s="118"/>
      <c r="Q144" s="53"/>
      <c r="R144" s="50"/>
      <c r="T144" s="1"/>
      <c r="U144" s="1"/>
      <c r="V144" s="1"/>
      <c r="W144" s="1"/>
      <c r="X144" s="1"/>
    </row>
    <row r="145" spans="1:24" s="4" customFormat="1" ht="12.75" customHeight="1">
      <c r="A145" s="1"/>
      <c r="B145" s="5"/>
      <c r="C145" s="139"/>
      <c r="D145" s="101"/>
      <c r="E145" s="44"/>
      <c r="F145" s="140"/>
      <c r="G145" s="100"/>
      <c r="H145" s="34"/>
      <c r="I145" s="99"/>
      <c r="J145" s="120"/>
      <c r="K145" s="99"/>
      <c r="L145" s="34"/>
      <c r="M145" s="100"/>
      <c r="N145" s="101"/>
      <c r="O145" s="100"/>
      <c r="P145" s="121"/>
      <c r="Q145" s="53"/>
      <c r="R145" s="50"/>
      <c r="T145" s="1"/>
      <c r="U145" s="1"/>
      <c r="V145" s="1"/>
      <c r="W145" s="1"/>
      <c r="X145" s="1"/>
    </row>
    <row r="146" spans="1:24" s="4" customFormat="1" ht="12.75" customHeight="1">
      <c r="A146" s="1"/>
      <c r="B146" s="5"/>
      <c r="C146" s="105"/>
      <c r="E146" s="6"/>
      <c r="F146" s="28"/>
      <c r="G146" s="17"/>
      <c r="H146" s="13"/>
      <c r="I146" s="16"/>
      <c r="J146" s="10"/>
      <c r="K146" s="16"/>
      <c r="L146" s="13"/>
      <c r="M146" s="17"/>
      <c r="O146" s="17"/>
      <c r="P146" s="6"/>
      <c r="Q146" s="53"/>
      <c r="R146" s="50"/>
      <c r="T146" s="1"/>
      <c r="U146" s="1"/>
      <c r="V146" s="1"/>
      <c r="W146" s="1"/>
      <c r="X146" s="1"/>
    </row>
    <row r="147" spans="1:24" s="4" customFormat="1" ht="12.75" customHeight="1">
      <c r="A147" s="1"/>
      <c r="B147" s="5"/>
      <c r="C147" s="183" t="s">
        <v>198</v>
      </c>
      <c r="E147" s="6"/>
      <c r="F147" s="28"/>
      <c r="G147" s="17"/>
      <c r="H147" s="13"/>
      <c r="I147" s="16"/>
      <c r="J147" s="10"/>
      <c r="K147" s="16"/>
      <c r="L147" s="13"/>
      <c r="M147" s="17"/>
      <c r="O147" s="17"/>
      <c r="P147" s="6"/>
      <c r="Q147" s="53"/>
      <c r="R147" s="50"/>
      <c r="T147" s="1"/>
      <c r="U147" s="1"/>
      <c r="V147" s="1"/>
      <c r="W147" s="1"/>
      <c r="X147" s="1"/>
    </row>
    <row r="148" spans="1:24" s="4" customFormat="1" ht="12.75" customHeight="1">
      <c r="A148" s="1"/>
      <c r="B148" s="5"/>
      <c r="C148" s="49"/>
      <c r="E148" s="6"/>
      <c r="F148" s="28"/>
      <c r="G148" s="17"/>
      <c r="H148" s="13"/>
      <c r="I148" s="16"/>
      <c r="J148" s="10"/>
      <c r="K148" s="16"/>
      <c r="L148" s="13"/>
      <c r="M148" s="17"/>
      <c r="O148" s="17"/>
      <c r="P148" s="6"/>
      <c r="Q148" s="53"/>
      <c r="R148" s="50"/>
      <c r="T148" s="1"/>
      <c r="U148" s="1"/>
      <c r="V148" s="1"/>
      <c r="W148" s="1"/>
      <c r="X148" s="1"/>
    </row>
    <row r="149" spans="1:24" s="4" customFormat="1" ht="12.75" customHeight="1">
      <c r="A149" s="1"/>
      <c r="B149" s="5"/>
      <c r="C149" s="4" t="s">
        <v>227</v>
      </c>
      <c r="D149" s="13">
        <f>L154</f>
        <v>198000</v>
      </c>
      <c r="E149" s="6"/>
      <c r="F149" s="43" t="s">
        <v>192</v>
      </c>
      <c r="G149" s="17"/>
      <c r="H149" s="13"/>
      <c r="I149" s="16"/>
      <c r="J149" s="10"/>
      <c r="K149" s="16"/>
      <c r="L149" s="6"/>
      <c r="M149" s="17"/>
      <c r="N149" s="6"/>
      <c r="O149" s="17"/>
      <c r="P149" s="6"/>
      <c r="Q149" s="53"/>
      <c r="R149" s="6"/>
      <c r="T149" s="1"/>
      <c r="U149" s="1"/>
      <c r="V149" s="1"/>
      <c r="W149" s="1"/>
      <c r="X149" s="1"/>
    </row>
    <row r="150" spans="1:24" s="4" customFormat="1" ht="12.75" customHeight="1">
      <c r="A150" s="1"/>
      <c r="B150" s="5"/>
      <c r="C150" s="93" t="s">
        <v>22</v>
      </c>
      <c r="D150" s="35">
        <f>P154</f>
        <v>13200</v>
      </c>
      <c r="E150" s="6"/>
      <c r="F150" s="43" t="s">
        <v>191</v>
      </c>
      <c r="G150" s="17"/>
      <c r="H150" s="13"/>
      <c r="I150" s="16"/>
      <c r="J150" s="10"/>
      <c r="K150" s="16"/>
      <c r="L150" s="6"/>
      <c r="M150" s="17"/>
      <c r="N150" s="6"/>
      <c r="O150" s="17"/>
      <c r="P150" s="6"/>
      <c r="Q150" s="53"/>
      <c r="R150" s="6"/>
      <c r="T150" s="1"/>
      <c r="U150" s="1"/>
      <c r="V150" s="1"/>
      <c r="W150" s="1"/>
      <c r="X150" s="1"/>
    </row>
    <row r="151" spans="1:24" s="4" customFormat="1" ht="12.75">
      <c r="A151" s="1"/>
      <c r="B151" s="5"/>
      <c r="C151" s="41"/>
      <c r="E151" s="6"/>
      <c r="F151" s="10"/>
      <c r="G151" s="17"/>
      <c r="H151" s="13"/>
      <c r="I151" s="16"/>
      <c r="J151" s="10"/>
      <c r="K151" s="16"/>
      <c r="L151" s="13"/>
      <c r="M151" s="17"/>
      <c r="O151" s="17"/>
      <c r="P151" s="6"/>
      <c r="Q151" s="53"/>
      <c r="R151" s="6"/>
      <c r="T151" s="1"/>
      <c r="U151" s="1"/>
      <c r="V151" s="1"/>
      <c r="W151" s="1"/>
      <c r="X151" s="1"/>
    </row>
    <row r="152" spans="1:24" s="4" customFormat="1" ht="12.75" customHeight="1">
      <c r="A152" s="1"/>
      <c r="B152" s="5"/>
      <c r="C152" s="136"/>
      <c r="D152" s="95"/>
      <c r="E152" s="112"/>
      <c r="F152" s="137"/>
      <c r="G152" s="113"/>
      <c r="H152" s="114"/>
      <c r="I152" s="115"/>
      <c r="J152" s="116"/>
      <c r="K152" s="115"/>
      <c r="L152" s="114"/>
      <c r="M152" s="113"/>
      <c r="N152" s="95"/>
      <c r="O152" s="113"/>
      <c r="P152" s="117"/>
      <c r="Q152" s="53"/>
      <c r="R152" s="50"/>
      <c r="T152" s="1"/>
      <c r="U152" s="1"/>
      <c r="V152" s="1"/>
      <c r="W152" s="1"/>
      <c r="X152" s="1"/>
    </row>
    <row r="153" spans="1:24" s="4" customFormat="1" ht="51">
      <c r="A153" s="1"/>
      <c r="B153" s="5"/>
      <c r="C153" s="138"/>
      <c r="D153" s="60" t="s">
        <v>103</v>
      </c>
      <c r="E153" s="132" t="s">
        <v>94</v>
      </c>
      <c r="F153" s="204" t="s">
        <v>187</v>
      </c>
      <c r="G153" s="42" t="s">
        <v>18</v>
      </c>
      <c r="H153" s="206" t="s">
        <v>224</v>
      </c>
      <c r="I153" s="42" t="s">
        <v>18</v>
      </c>
      <c r="J153" s="207" t="s">
        <v>218</v>
      </c>
      <c r="K153" s="17" t="s">
        <v>18</v>
      </c>
      <c r="L153" s="191" t="s">
        <v>188</v>
      </c>
      <c r="M153" s="132" t="s">
        <v>94</v>
      </c>
      <c r="N153" s="60" t="s">
        <v>140</v>
      </c>
      <c r="O153" s="90" t="s">
        <v>29</v>
      </c>
      <c r="P153" s="196" t="s">
        <v>189</v>
      </c>
      <c r="Q153" s="53"/>
      <c r="R153" s="50"/>
      <c r="T153" s="1"/>
      <c r="U153" s="1"/>
      <c r="V153" s="1"/>
      <c r="W153" s="1"/>
      <c r="X153" s="1"/>
    </row>
    <row r="154" spans="1:24" s="4" customFormat="1" ht="12.75" customHeight="1">
      <c r="A154" s="1"/>
      <c r="B154" s="5"/>
      <c r="C154" s="138"/>
      <c r="D154" s="58">
        <f>L134</f>
        <v>1260</v>
      </c>
      <c r="E154" s="6"/>
      <c r="F154" s="336">
        <v>42</v>
      </c>
      <c r="G154" s="17"/>
      <c r="H154" s="313">
        <v>22</v>
      </c>
      <c r="I154" s="16"/>
      <c r="J154" s="332">
        <v>300</v>
      </c>
      <c r="K154" s="17"/>
      <c r="L154" s="8">
        <f>D154/F154*H154*J154</f>
        <v>198000</v>
      </c>
      <c r="N154" s="205">
        <f>N108</f>
        <v>15</v>
      </c>
      <c r="O154" s="17"/>
      <c r="P154" s="97">
        <f>L154/N154</f>
        <v>13200</v>
      </c>
      <c r="Q154" s="53"/>
      <c r="R154" s="50"/>
      <c r="T154" s="1"/>
      <c r="U154" s="1"/>
      <c r="V154" s="1"/>
      <c r="W154" s="1"/>
      <c r="X154" s="1"/>
    </row>
    <row r="155" spans="1:24" s="4" customFormat="1" ht="12.75" customHeight="1">
      <c r="A155" s="1"/>
      <c r="B155" s="5"/>
      <c r="C155" s="139"/>
      <c r="D155" s="101"/>
      <c r="E155" s="44"/>
      <c r="F155" s="140"/>
      <c r="G155" s="100"/>
      <c r="H155" s="34"/>
      <c r="I155" s="99"/>
      <c r="J155" s="120"/>
      <c r="K155" s="99"/>
      <c r="L155" s="34"/>
      <c r="M155" s="100"/>
      <c r="N155" s="101"/>
      <c r="O155" s="100"/>
      <c r="P155" s="121"/>
      <c r="Q155" s="53"/>
      <c r="R155" s="50"/>
      <c r="T155" s="1"/>
      <c r="U155" s="1"/>
      <c r="V155" s="1"/>
      <c r="W155" s="1"/>
      <c r="X155" s="1"/>
    </row>
    <row r="156" spans="1:24" s="4" customFormat="1" ht="12.75" customHeight="1">
      <c r="A156" s="1"/>
      <c r="B156" s="5"/>
      <c r="C156" s="105"/>
      <c r="E156" s="6"/>
      <c r="F156" s="28"/>
      <c r="G156" s="17"/>
      <c r="H156" s="13"/>
      <c r="I156" s="16"/>
      <c r="J156" s="10"/>
      <c r="K156" s="16"/>
      <c r="L156" s="13"/>
      <c r="M156" s="17"/>
      <c r="O156" s="17"/>
      <c r="P156" s="6"/>
      <c r="Q156" s="53"/>
      <c r="R156" s="50"/>
      <c r="T156" s="1"/>
      <c r="U156" s="1"/>
      <c r="V156" s="1"/>
      <c r="W156" s="1"/>
      <c r="X156" s="1"/>
    </row>
    <row r="157" spans="1:24" s="4" customFormat="1" ht="12.75">
      <c r="A157" s="1"/>
      <c r="B157" s="5"/>
      <c r="C157" s="41"/>
      <c r="E157" s="6"/>
      <c r="F157" s="10"/>
      <c r="G157" s="17"/>
      <c r="H157" s="13"/>
      <c r="I157" s="16"/>
      <c r="J157" s="10"/>
      <c r="K157" s="16"/>
      <c r="L157" s="13"/>
      <c r="M157" s="17"/>
      <c r="O157" s="17"/>
      <c r="P157" s="6"/>
      <c r="Q157" s="53"/>
      <c r="R157" s="6"/>
      <c r="T157" s="1"/>
      <c r="U157" s="1"/>
      <c r="V157" s="1"/>
      <c r="W157" s="1"/>
      <c r="X157" s="1"/>
    </row>
    <row r="158" spans="1:24" s="4" customFormat="1" ht="12.75" customHeight="1" thickBot="1">
      <c r="A158" s="1"/>
      <c r="B158" s="5"/>
      <c r="C158" s="123" t="s">
        <v>150</v>
      </c>
      <c r="D158" s="71"/>
      <c r="E158" s="71"/>
      <c r="F158" s="72"/>
      <c r="G158" s="73"/>
      <c r="H158" s="74"/>
      <c r="I158" s="33"/>
      <c r="J158" s="72"/>
      <c r="K158" s="33"/>
      <c r="L158" s="71"/>
      <c r="M158" s="73"/>
      <c r="N158" s="71"/>
      <c r="O158" s="73"/>
      <c r="P158" s="71"/>
      <c r="Q158" s="75"/>
      <c r="R158" s="6"/>
      <c r="T158" s="1"/>
      <c r="U158" s="1"/>
      <c r="V158" s="1"/>
      <c r="W158" s="1"/>
      <c r="X158" s="1"/>
    </row>
    <row r="159" spans="1:24" s="4" customFormat="1" ht="12.75" customHeight="1">
      <c r="A159" s="1"/>
      <c r="B159" s="5"/>
      <c r="C159" s="80"/>
      <c r="D159" s="6"/>
      <c r="E159" s="6"/>
      <c r="F159" s="10"/>
      <c r="G159" s="17"/>
      <c r="H159" s="13"/>
      <c r="I159" s="16"/>
      <c r="J159" s="10"/>
      <c r="K159" s="16"/>
      <c r="L159" s="6"/>
      <c r="M159" s="17"/>
      <c r="N159" s="6"/>
      <c r="O159" s="17"/>
      <c r="P159" s="6"/>
      <c r="Q159" s="53"/>
      <c r="R159" s="6"/>
      <c r="T159" s="1"/>
      <c r="U159" s="1"/>
      <c r="V159" s="1"/>
      <c r="W159" s="1"/>
      <c r="X159" s="1"/>
    </row>
    <row r="160" spans="1:24" s="4" customFormat="1" ht="12.75" customHeight="1">
      <c r="A160" s="1"/>
      <c r="B160" s="5"/>
      <c r="C160" s="11" t="s">
        <v>31</v>
      </c>
      <c r="D160" s="35">
        <f>L164</f>
        <v>2100000</v>
      </c>
      <c r="E160" s="6"/>
      <c r="F160" s="43" t="s">
        <v>32</v>
      </c>
      <c r="G160" s="17"/>
      <c r="H160" s="13"/>
      <c r="I160" s="16"/>
      <c r="J160" s="10"/>
      <c r="K160" s="16"/>
      <c r="L160" s="6"/>
      <c r="M160" s="17"/>
      <c r="N160" s="6"/>
      <c r="O160" s="17"/>
      <c r="P160" s="6"/>
      <c r="Q160" s="53"/>
      <c r="R160" s="6"/>
      <c r="T160" s="1"/>
      <c r="U160" s="1"/>
      <c r="V160" s="1"/>
      <c r="W160" s="1"/>
      <c r="X160" s="1"/>
    </row>
    <row r="161" spans="1:24" s="4" customFormat="1" ht="12.75" customHeight="1">
      <c r="A161" s="1"/>
      <c r="B161" s="5"/>
      <c r="D161" s="6"/>
      <c r="E161" s="6"/>
      <c r="F161" s="10"/>
      <c r="G161" s="17"/>
      <c r="H161" s="13"/>
      <c r="I161" s="16"/>
      <c r="J161" s="10"/>
      <c r="K161" s="16"/>
      <c r="L161" s="6"/>
      <c r="M161" s="17"/>
      <c r="N161" s="6"/>
      <c r="O161" s="17"/>
      <c r="P161" s="6"/>
      <c r="Q161" s="53"/>
      <c r="R161" s="6"/>
      <c r="T161" s="1"/>
      <c r="U161" s="1"/>
      <c r="V161" s="1"/>
      <c r="W161" s="1"/>
      <c r="X161" s="1"/>
    </row>
    <row r="162" spans="1:24" s="4" customFormat="1" ht="12.75" customHeight="1">
      <c r="A162" s="1"/>
      <c r="B162" s="5"/>
      <c r="C162" s="111"/>
      <c r="D162" s="112"/>
      <c r="E162" s="112"/>
      <c r="F162" s="116"/>
      <c r="G162" s="113"/>
      <c r="H162" s="114"/>
      <c r="I162" s="115"/>
      <c r="J162" s="116"/>
      <c r="K162" s="115"/>
      <c r="L162" s="112"/>
      <c r="M162" s="113"/>
      <c r="N162" s="112"/>
      <c r="O162" s="113"/>
      <c r="P162" s="117"/>
      <c r="Q162" s="53"/>
      <c r="R162" s="6"/>
      <c r="T162" s="1"/>
      <c r="U162" s="1"/>
      <c r="V162" s="1"/>
      <c r="W162" s="1"/>
      <c r="X162" s="1"/>
    </row>
    <row r="163" spans="1:24" s="4" customFormat="1" ht="38.25">
      <c r="A163" s="1"/>
      <c r="B163" s="5"/>
      <c r="C163" s="171"/>
      <c r="D163" s="60" t="s">
        <v>30</v>
      </c>
      <c r="F163" s="206" t="s">
        <v>185</v>
      </c>
      <c r="G163" s="6"/>
      <c r="H163" s="60" t="s">
        <v>143</v>
      </c>
      <c r="I163" s="16"/>
      <c r="J163" s="208" t="s">
        <v>186</v>
      </c>
      <c r="K163" s="16"/>
      <c r="L163" s="191" t="s">
        <v>17</v>
      </c>
      <c r="M163" s="17"/>
      <c r="N163" s="6"/>
      <c r="O163" s="17"/>
      <c r="P163" s="118"/>
      <c r="Q163" s="53"/>
      <c r="R163" s="6"/>
      <c r="T163" s="1"/>
      <c r="U163" s="1"/>
      <c r="V163" s="1"/>
      <c r="W163" s="1"/>
      <c r="X163" s="1"/>
    </row>
    <row r="164" spans="1:24" s="4" customFormat="1" ht="12.75" customHeight="1">
      <c r="A164" s="1"/>
      <c r="B164" s="5"/>
      <c r="C164" s="138"/>
      <c r="D164" s="58">
        <f>H39</f>
        <v>1000</v>
      </c>
      <c r="F164" s="313">
        <v>50</v>
      </c>
      <c r="G164" s="6"/>
      <c r="H164" s="165">
        <f>ROUNDUP(D164/F164,0)</f>
        <v>20</v>
      </c>
      <c r="I164" s="16"/>
      <c r="J164" s="332">
        <v>105000</v>
      </c>
      <c r="K164" s="16"/>
      <c r="L164" s="13">
        <f>H164*J164</f>
        <v>2100000</v>
      </c>
      <c r="M164" s="17"/>
      <c r="N164" s="6"/>
      <c r="O164" s="17"/>
      <c r="P164" s="118"/>
      <c r="Q164" s="53"/>
      <c r="R164" s="6"/>
      <c r="T164" s="1"/>
      <c r="U164" s="1"/>
      <c r="V164" s="1"/>
      <c r="W164" s="1"/>
      <c r="X164" s="1"/>
    </row>
    <row r="165" spans="1:24" s="4" customFormat="1" ht="12.75" customHeight="1">
      <c r="A165" s="1"/>
      <c r="B165" s="5"/>
      <c r="C165" s="172"/>
      <c r="D165" s="44"/>
      <c r="E165" s="44"/>
      <c r="F165" s="120"/>
      <c r="G165" s="100"/>
      <c r="H165" s="34"/>
      <c r="I165" s="99"/>
      <c r="J165" s="120"/>
      <c r="K165" s="99"/>
      <c r="L165" s="34"/>
      <c r="M165" s="100"/>
      <c r="N165" s="44"/>
      <c r="O165" s="100"/>
      <c r="P165" s="121"/>
      <c r="Q165" s="53"/>
      <c r="R165" s="6"/>
      <c r="T165" s="1"/>
      <c r="U165" s="1"/>
      <c r="V165" s="1"/>
      <c r="W165" s="1"/>
      <c r="X165" s="1"/>
    </row>
    <row r="166" spans="1:24" s="4" customFormat="1" ht="12.75" customHeight="1">
      <c r="A166" s="1"/>
      <c r="B166" s="5"/>
      <c r="C166" s="106"/>
      <c r="D166" s="6"/>
      <c r="E166" s="6"/>
      <c r="F166" s="10"/>
      <c r="G166" s="17"/>
      <c r="H166" s="13"/>
      <c r="I166" s="16"/>
      <c r="J166" s="10"/>
      <c r="K166" s="16"/>
      <c r="L166" s="13"/>
      <c r="M166" s="17"/>
      <c r="N166" s="6"/>
      <c r="O166" s="17"/>
      <c r="P166" s="6"/>
      <c r="Q166" s="53"/>
      <c r="R166" s="6"/>
      <c r="T166" s="1"/>
      <c r="U166" s="1"/>
      <c r="V166" s="1"/>
      <c r="W166" s="1"/>
      <c r="X166" s="1"/>
    </row>
    <row r="167" spans="1:24" s="4" customFormat="1" ht="12.75" customHeight="1" thickBot="1">
      <c r="A167" s="1"/>
      <c r="B167" s="5"/>
      <c r="C167" s="123" t="s">
        <v>229</v>
      </c>
      <c r="D167" s="71"/>
      <c r="E167" s="71"/>
      <c r="F167" s="72"/>
      <c r="G167" s="73"/>
      <c r="H167" s="74"/>
      <c r="I167" s="33"/>
      <c r="J167" s="72"/>
      <c r="K167" s="33"/>
      <c r="L167" s="71"/>
      <c r="M167" s="73"/>
      <c r="N167" s="71"/>
      <c r="O167" s="73"/>
      <c r="P167" s="71"/>
      <c r="Q167" s="75"/>
      <c r="R167" s="6"/>
      <c r="T167" s="1"/>
      <c r="U167" s="1"/>
      <c r="V167" s="1"/>
      <c r="W167" s="1"/>
      <c r="X167" s="1"/>
    </row>
    <row r="168" spans="1:24" s="4" customFormat="1" ht="12.75">
      <c r="A168" s="1"/>
      <c r="B168" s="5"/>
      <c r="C168" s="18"/>
      <c r="D168" s="24"/>
      <c r="E168" s="7"/>
      <c r="F168" s="24"/>
      <c r="G168" s="7"/>
      <c r="H168" s="24"/>
      <c r="I168" s="7"/>
      <c r="J168" s="24"/>
      <c r="K168" s="7"/>
      <c r="L168" s="24"/>
      <c r="P168" s="7"/>
      <c r="Q168" s="154"/>
      <c r="R168" s="16"/>
      <c r="T168" s="1"/>
      <c r="U168" s="1"/>
      <c r="V168" s="1"/>
      <c r="W168" s="1"/>
      <c r="X168" s="1"/>
    </row>
    <row r="169" spans="1:24" s="4" customFormat="1" ht="12.75" customHeight="1">
      <c r="A169" s="1"/>
      <c r="B169" s="5"/>
      <c r="C169" s="11" t="s">
        <v>228</v>
      </c>
      <c r="D169" s="35">
        <f>L176</f>
        <v>8253.551912568306</v>
      </c>
      <c r="E169" s="6"/>
      <c r="F169" s="185" t="s">
        <v>230</v>
      </c>
      <c r="G169" s="17"/>
      <c r="H169" s="13"/>
      <c r="I169" s="16"/>
      <c r="J169" s="10"/>
      <c r="K169" s="16"/>
      <c r="L169" s="6"/>
      <c r="M169" s="17"/>
      <c r="N169" s="6"/>
      <c r="O169" s="17"/>
      <c r="P169" s="6"/>
      <c r="Q169" s="53"/>
      <c r="R169" s="6"/>
      <c r="T169" s="1"/>
      <c r="U169" s="1"/>
      <c r="V169" s="1"/>
      <c r="W169" s="1"/>
      <c r="X169" s="1"/>
    </row>
    <row r="170" spans="1:24" s="4" customFormat="1" ht="12.75">
      <c r="A170" s="1"/>
      <c r="B170" s="5"/>
      <c r="C170" s="18"/>
      <c r="D170" s="24"/>
      <c r="E170" s="7"/>
      <c r="F170" s="24"/>
      <c r="G170" s="7"/>
      <c r="H170" s="24"/>
      <c r="I170" s="7"/>
      <c r="J170" s="24"/>
      <c r="K170" s="7"/>
      <c r="L170" s="24"/>
      <c r="P170" s="7"/>
      <c r="Q170" s="154"/>
      <c r="R170" s="16"/>
      <c r="T170" s="1"/>
      <c r="U170" s="1"/>
      <c r="V170" s="1"/>
      <c r="W170" s="1"/>
      <c r="X170" s="1"/>
    </row>
    <row r="171" spans="1:24" s="4" customFormat="1" ht="12.75">
      <c r="A171" s="1"/>
      <c r="B171" s="5"/>
      <c r="C171" s="81"/>
      <c r="D171" s="169"/>
      <c r="E171" s="170"/>
      <c r="F171" s="169"/>
      <c r="G171" s="170"/>
      <c r="H171" s="169"/>
      <c r="I171" s="170"/>
      <c r="J171" s="169"/>
      <c r="K171" s="170"/>
      <c r="L171" s="169"/>
      <c r="M171" s="95"/>
      <c r="N171" s="95"/>
      <c r="O171" s="95"/>
      <c r="P171" s="82"/>
      <c r="Q171" s="154"/>
      <c r="R171" s="16"/>
      <c r="T171" s="1"/>
      <c r="U171" s="1"/>
      <c r="V171" s="1"/>
      <c r="W171" s="1"/>
      <c r="X171" s="1"/>
    </row>
    <row r="172" spans="1:24" s="4" customFormat="1" ht="38.25">
      <c r="A172" s="1"/>
      <c r="B172" s="5"/>
      <c r="C172" s="138"/>
      <c r="D172" s="192" t="s">
        <v>121</v>
      </c>
      <c r="E172" s="66" t="s">
        <v>13</v>
      </c>
      <c r="F172" s="377" t="s">
        <v>120</v>
      </c>
      <c r="G172" s="132" t="s">
        <v>18</v>
      </c>
      <c r="H172" s="206" t="s">
        <v>180</v>
      </c>
      <c r="I172" s="132" t="s">
        <v>94</v>
      </c>
      <c r="J172" s="206" t="s">
        <v>179</v>
      </c>
      <c r="K172" s="90" t="s">
        <v>29</v>
      </c>
      <c r="L172" s="64" t="s">
        <v>119</v>
      </c>
      <c r="O172" s="90"/>
      <c r="P172" s="150"/>
      <c r="Q172" s="154"/>
      <c r="R172" s="16"/>
      <c r="T172" s="1"/>
      <c r="U172" s="1"/>
      <c r="V172" s="1"/>
      <c r="W172" s="1"/>
      <c r="X172" s="1"/>
    </row>
    <row r="173" spans="1:24" s="4" customFormat="1" ht="12.75">
      <c r="A173" s="1"/>
      <c r="B173" s="5"/>
      <c r="C173" s="129" t="s">
        <v>41</v>
      </c>
      <c r="D173" s="58">
        <f>Main!D62</f>
        <v>2950</v>
      </c>
      <c r="E173" s="29"/>
      <c r="F173" s="58">
        <f>Main!F62</f>
        <v>5900</v>
      </c>
      <c r="H173" s="313">
        <f>8*1024</f>
        <v>8192</v>
      </c>
      <c r="I173" s="17"/>
      <c r="J173" s="313">
        <f>60*60*24*30.5</f>
        <v>2635200</v>
      </c>
      <c r="K173" s="17"/>
      <c r="L173" s="184">
        <f>(D173+F173)/J173*H173</f>
        <v>27.51183970856102</v>
      </c>
      <c r="P173" s="179"/>
      <c r="Q173" s="154"/>
      <c r="R173" s="16"/>
      <c r="T173" s="1"/>
      <c r="U173" s="1"/>
      <c r="V173" s="1"/>
      <c r="W173" s="1"/>
      <c r="X173" s="1"/>
    </row>
    <row r="174" spans="1:24" s="4" customFormat="1" ht="12.75">
      <c r="A174" s="1"/>
      <c r="B174" s="5"/>
      <c r="C174" s="129"/>
      <c r="D174" s="58"/>
      <c r="E174" s="29"/>
      <c r="F174" s="58"/>
      <c r="H174" s="6"/>
      <c r="I174" s="17"/>
      <c r="J174" s="6"/>
      <c r="K174" s="17"/>
      <c r="L174" s="25"/>
      <c r="M174" s="17"/>
      <c r="N174" s="25"/>
      <c r="P174" s="179"/>
      <c r="Q174" s="154"/>
      <c r="R174" s="16"/>
      <c r="T174" s="1"/>
      <c r="U174" s="1"/>
      <c r="V174" s="1"/>
      <c r="W174" s="1"/>
      <c r="X174" s="1"/>
    </row>
    <row r="175" spans="1:24" s="4" customFormat="1" ht="38.25">
      <c r="A175" s="1"/>
      <c r="B175" s="5"/>
      <c r="C175" s="109"/>
      <c r="D175" s="64" t="s">
        <v>119</v>
      </c>
      <c r="E175" s="7" t="s">
        <v>18</v>
      </c>
      <c r="F175" s="208" t="s">
        <v>226</v>
      </c>
      <c r="G175" s="158" t="s">
        <v>29</v>
      </c>
      <c r="H175" s="60" t="s">
        <v>167</v>
      </c>
      <c r="I175" s="4" t="s">
        <v>18</v>
      </c>
      <c r="J175" s="210" t="s">
        <v>123</v>
      </c>
      <c r="K175" s="162" t="s">
        <v>29</v>
      </c>
      <c r="L175" s="167" t="s">
        <v>82</v>
      </c>
      <c r="P175" s="110"/>
      <c r="Q175" s="154"/>
      <c r="R175" s="16"/>
      <c r="T175" s="1"/>
      <c r="U175" s="1"/>
      <c r="V175" s="1"/>
      <c r="W175" s="1"/>
      <c r="X175" s="1"/>
    </row>
    <row r="176" spans="1:24" s="4" customFormat="1" ht="12.75">
      <c r="A176" s="1"/>
      <c r="B176" s="5"/>
      <c r="C176" s="109"/>
      <c r="D176" s="149">
        <f>L173</f>
        <v>27.51183970856102</v>
      </c>
      <c r="E176" s="7"/>
      <c r="F176" s="331">
        <v>25</v>
      </c>
      <c r="H176" s="8">
        <f>D176*F176</f>
        <v>687.7959927140255</v>
      </c>
      <c r="J176" s="161">
        <v>12</v>
      </c>
      <c r="K176" s="7"/>
      <c r="L176" s="130">
        <f>H176*J176</f>
        <v>8253.551912568306</v>
      </c>
      <c r="P176" s="110"/>
      <c r="Q176" s="154"/>
      <c r="R176" s="16"/>
      <c r="T176" s="1"/>
      <c r="U176" s="1"/>
      <c r="V176" s="1"/>
      <c r="W176" s="1"/>
      <c r="X176" s="1"/>
    </row>
    <row r="177" spans="1:24" s="4" customFormat="1" ht="12.75">
      <c r="A177" s="1"/>
      <c r="B177" s="5"/>
      <c r="C177" s="166"/>
      <c r="D177" s="167"/>
      <c r="E177" s="15"/>
      <c r="F177" s="167"/>
      <c r="G177" s="15"/>
      <c r="H177" s="167"/>
      <c r="I177" s="15"/>
      <c r="J177" s="167"/>
      <c r="K177" s="15"/>
      <c r="L177" s="167"/>
      <c r="M177" s="101"/>
      <c r="N177" s="101"/>
      <c r="O177" s="101"/>
      <c r="P177" s="168"/>
      <c r="Q177" s="154"/>
      <c r="R177" s="16"/>
      <c r="T177" s="1"/>
      <c r="U177" s="1"/>
      <c r="V177" s="1"/>
      <c r="W177" s="1"/>
      <c r="X177" s="1"/>
    </row>
    <row r="178" spans="1:24" s="4" customFormat="1" ht="13.5" thickBot="1">
      <c r="A178" s="1"/>
      <c r="B178" s="20"/>
      <c r="C178" s="173"/>
      <c r="D178" s="77"/>
      <c r="E178" s="31"/>
      <c r="F178" s="77"/>
      <c r="G178" s="31"/>
      <c r="H178" s="77"/>
      <c r="I178" s="31"/>
      <c r="J178" s="77"/>
      <c r="K178" s="31"/>
      <c r="L178" s="77"/>
      <c r="M178" s="21"/>
      <c r="N178" s="21"/>
      <c r="O178" s="21"/>
      <c r="P178" s="31"/>
      <c r="Q178" s="174"/>
      <c r="R178" s="16"/>
      <c r="T178" s="1"/>
      <c r="U178" s="1"/>
      <c r="V178" s="1"/>
      <c r="W178" s="1"/>
      <c r="X178" s="1"/>
    </row>
    <row r="179" spans="1:24" s="4" customFormat="1" ht="12.75">
      <c r="A179" s="1"/>
      <c r="B179" s="1"/>
      <c r="C179" s="18"/>
      <c r="D179" s="24"/>
      <c r="E179" s="7"/>
      <c r="F179" s="24"/>
      <c r="G179" s="7"/>
      <c r="H179" s="24"/>
      <c r="I179" s="7"/>
      <c r="J179" s="24"/>
      <c r="K179" s="7"/>
      <c r="L179" s="24"/>
      <c r="P179" s="7"/>
      <c r="Q179" s="16"/>
      <c r="R179" s="16"/>
      <c r="T179" s="1"/>
      <c r="U179" s="1"/>
      <c r="V179" s="1"/>
      <c r="W179" s="1"/>
      <c r="X179" s="1"/>
    </row>
    <row r="180" spans="1:24" s="4" customFormat="1" ht="12.75">
      <c r="A180" s="1"/>
      <c r="B180" s="1"/>
      <c r="C180" s="14" t="s">
        <v>391</v>
      </c>
      <c r="D180" s="1"/>
      <c r="E180" s="1"/>
      <c r="F180" s="1"/>
      <c r="G180" s="1"/>
      <c r="H180" s="1"/>
      <c r="I180" s="1"/>
      <c r="J180" s="1"/>
      <c r="K180" s="1"/>
      <c r="L180" s="1"/>
      <c r="M180" s="1"/>
      <c r="N180" s="1"/>
      <c r="O180" s="1"/>
      <c r="P180" s="7"/>
      <c r="Q180" s="16"/>
      <c r="R180" s="16"/>
      <c r="T180" s="1"/>
      <c r="U180" s="1"/>
      <c r="V180" s="1"/>
      <c r="W180" s="1"/>
      <c r="X180" s="1"/>
    </row>
    <row r="189" ht="12.75">
      <c r="C189" s="41"/>
    </row>
    <row r="206" ht="12.75">
      <c r="D206" s="19"/>
    </row>
    <row r="207" spans="3:4" ht="12.75">
      <c r="C207" s="3"/>
      <c r="D207" s="47"/>
    </row>
    <row r="208" spans="3:4" ht="12.75">
      <c r="C208" s="18"/>
      <c r="D208" s="85"/>
    </row>
    <row r="209" spans="3:4" ht="12.75">
      <c r="C209" s="18"/>
      <c r="D209" s="85"/>
    </row>
    <row r="210" spans="3:4" ht="12.75">
      <c r="C210" s="18"/>
      <c r="D210" s="85"/>
    </row>
    <row r="211" spans="3:4" ht="12.75">
      <c r="C211" s="18"/>
      <c r="D211" s="85"/>
    </row>
    <row r="212" spans="3:4" ht="12.75">
      <c r="C212" s="18"/>
      <c r="D212" s="85"/>
    </row>
    <row r="213" spans="3:4" ht="12.75">
      <c r="C213" s="18"/>
      <c r="D213" s="85"/>
    </row>
    <row r="214" spans="3:4" ht="12.75">
      <c r="C214" s="18"/>
      <c r="D214" s="85"/>
    </row>
    <row r="215" spans="3:4" ht="12.75">
      <c r="C215" s="18"/>
      <c r="D215" s="85"/>
    </row>
  </sheetData>
  <sheetProtection/>
  <mergeCells count="2">
    <mergeCell ref="N31:N38"/>
    <mergeCell ref="H85:H92"/>
  </mergeCells>
  <hyperlinks>
    <hyperlink ref="H30" location="Onsite_TotalServersNeeded" display="Total Servers Needed"/>
    <hyperlink ref="J30" location="Onsite_CostperServer" display="Cost per Server"/>
    <hyperlink ref="N30" location="Onsite_ServerUsefulLife" display="Server Useful Life (Years)"/>
    <hyperlink ref="F50" location="Onsite_NetworkCost" display="Network Cost (% of Initial Server Cost)"/>
    <hyperlink ref="J50" location="Onsite_NetworkUsefulLife" display="Network Useful Life (Years)"/>
    <hyperlink ref="J59" location="Onsite_AnnualHardwareMaintenanceCost" display="Annual Maintenance Cost"/>
    <hyperlink ref="F84" location="Onsite_NameplatePowerperServer" display="Nameplate Power per Server (Watts)"/>
    <hyperlink ref="H84" location="Onsite_PowerConversionFactor" display="Power Conversion Factor"/>
    <hyperlink ref="F95" location="Onsite_PUE" display="PUE"/>
    <hyperlink ref="N95" location="Onsite_PriceperkWHour" display="Price/kW hour"/>
    <hyperlink ref="J107" location="Onsite_DataCenterConstructionCost" display="Data Center Construction Cost per kW"/>
    <hyperlink ref="N107" location="Onsite_DataCenterUsefulLife" display="Data Center Useful Life"/>
    <hyperlink ref="L121" location="Onsite_PowerperRackUnit" display="Power per Rack U (Watts)"/>
    <hyperlink ref="F133" location="Onsite_ServerSpace" display="Server Space (Rack U)"/>
    <hyperlink ref="F153" location="Onsite_RackUnitsperRack" display="Rack Units per Rack"/>
    <hyperlink ref="H153" location="Onsite_SpaceperRack" display="Space per Rack (ft2)"/>
    <hyperlink ref="J153" location="Onsite_ComputerRoomConstructionCost" display="Computer Room Construction Cost (per ft2)"/>
    <hyperlink ref="F163" location="Onsite_ServersperFTE" display="Servers per FTE"/>
    <hyperlink ref="J163" location="Onsite_AnnualSalaryperFTE" display="Annual Salary per FTE"/>
    <hyperlink ref="J172" location="Onsite_SecondsperMonth" display="Seconds per Month"/>
    <hyperlink ref="H172" location="Onsite_MegabitsperGB" display="Megabits per GB"/>
    <hyperlink ref="F175" location="Onsite_MonthlyCostperMegabit" display="Monthly Cost per Megabit"/>
    <hyperlink ref="J1" location="Overview_Goto" display="Overview"/>
    <hyperlink ref="L1" location="AmazonEC2_Goto" display="Amazon EC2"/>
    <hyperlink ref="N1" location="Colo_Goto" display="Co-Location"/>
    <hyperlink ref="F69" location="Onsite_OSCostperServer" display="OS Cost per Server"/>
    <hyperlink ref="L84" location="Onsite_HoursperYear" display="Hours per Year"/>
    <hyperlink ref="C1" r:id="rId1" display="AWS Economics Center"/>
    <hyperlink ref="D1" r:id="rId2" display="User Guide"/>
  </hyperlinks>
  <printOptions/>
  <pageMargins left="0.7" right="0.7" top="0.75" bottom="0.75" header="0.3" footer="0.3"/>
  <pageSetup fitToHeight="3" fitToWidth="1" horizontalDpi="600" verticalDpi="600" orientation="portrait" scale="63" r:id="rId4"/>
  <drawing r:id="rId3"/>
</worksheet>
</file>

<file path=xl/worksheets/sheet6.xml><?xml version="1.0" encoding="utf-8"?>
<worksheet xmlns="http://schemas.openxmlformats.org/spreadsheetml/2006/main" xmlns:r="http://schemas.openxmlformats.org/officeDocument/2006/relationships">
  <sheetPr codeName="Sheet5">
    <pageSetUpPr fitToPage="1"/>
  </sheetPr>
  <dimension ref="A1:X60"/>
  <sheetViews>
    <sheetView showGridLines="0" zoomScale="115" zoomScaleNormal="115" zoomScalePageLayoutView="0" workbookViewId="0" topLeftCell="A1">
      <selection activeCell="A1" sqref="A1"/>
    </sheetView>
  </sheetViews>
  <sheetFormatPr defaultColWidth="9.140625" defaultRowHeight="15"/>
  <cols>
    <col min="1" max="2" width="3.140625" style="0" customWidth="1"/>
    <col min="3" max="3" width="32.57421875" style="62" customWidth="1"/>
    <col min="4" max="4" width="11.8515625" style="62" customWidth="1"/>
    <col min="5" max="5" width="3.28125" style="0" customWidth="1"/>
    <col min="6" max="6" width="11.8515625" style="0" customWidth="1"/>
    <col min="7" max="7" width="3.28125" style="0" customWidth="1"/>
    <col min="8" max="8" width="11.8515625" style="0" customWidth="1"/>
    <col min="9" max="9" width="3.28125" style="0" customWidth="1"/>
    <col min="10" max="10" width="11.8515625" style="0" customWidth="1"/>
    <col min="11" max="11" width="3.28125" style="0" customWidth="1"/>
    <col min="12" max="12" width="11.8515625" style="0" customWidth="1"/>
    <col min="13" max="13" width="3.28125" style="0" customWidth="1"/>
    <col min="14" max="14" width="11.8515625" style="0" customWidth="1"/>
    <col min="15" max="15" width="3.28125" style="0" customWidth="1"/>
    <col min="16" max="16" width="11.8515625" style="0" customWidth="1"/>
    <col min="17" max="17" width="3.28125" style="0" customWidth="1"/>
    <col min="18" max="18" width="12.00390625" style="0" customWidth="1"/>
    <col min="19" max="19" width="3.140625" style="0" customWidth="1"/>
    <col min="20" max="20" width="12.00390625" style="0" customWidth="1"/>
  </cols>
  <sheetData>
    <row r="1" spans="3:16" ht="15.75" thickBot="1">
      <c r="C1" s="398" t="s">
        <v>373</v>
      </c>
      <c r="D1" s="412" t="s">
        <v>372</v>
      </c>
      <c r="E1" s="348"/>
      <c r="F1" s="348"/>
      <c r="J1" s="122" t="s">
        <v>327</v>
      </c>
      <c r="K1" s="7"/>
      <c r="L1" s="122" t="s">
        <v>271</v>
      </c>
      <c r="M1" s="7"/>
      <c r="N1" s="122" t="s">
        <v>272</v>
      </c>
      <c r="O1" s="7"/>
      <c r="P1" s="122" t="s">
        <v>273</v>
      </c>
    </row>
    <row r="2" spans="2:17" ht="15">
      <c r="B2" s="350"/>
      <c r="C2" s="359"/>
      <c r="D2" s="359"/>
      <c r="E2" s="351"/>
      <c r="F2" s="351"/>
      <c r="G2" s="351"/>
      <c r="H2" s="351"/>
      <c r="I2" s="351"/>
      <c r="J2" s="360"/>
      <c r="K2" s="30"/>
      <c r="L2" s="360"/>
      <c r="M2" s="30"/>
      <c r="N2" s="360"/>
      <c r="O2" s="30"/>
      <c r="P2" s="361"/>
      <c r="Q2" s="352"/>
    </row>
    <row r="3" spans="2:17" ht="21">
      <c r="B3" s="353"/>
      <c r="C3" s="362" t="s">
        <v>357</v>
      </c>
      <c r="D3" s="4"/>
      <c r="E3" s="4"/>
      <c r="F3" s="4"/>
      <c r="G3" s="348"/>
      <c r="H3" s="348"/>
      <c r="I3" s="348"/>
      <c r="J3" s="348"/>
      <c r="K3" s="348"/>
      <c r="L3" s="348"/>
      <c r="M3" s="348"/>
      <c r="N3" s="348"/>
      <c r="O3" s="348"/>
      <c r="P3" s="348"/>
      <c r="Q3" s="354"/>
    </row>
    <row r="4" spans="2:17" ht="15.75">
      <c r="B4" s="353"/>
      <c r="C4" s="405" t="s">
        <v>319</v>
      </c>
      <c r="D4" s="4"/>
      <c r="E4" s="4"/>
      <c r="F4" s="4"/>
      <c r="G4" s="348"/>
      <c r="H4" s="348"/>
      <c r="I4" s="348"/>
      <c r="J4" s="348"/>
      <c r="K4" s="348"/>
      <c r="L4" s="348"/>
      <c r="M4" s="348"/>
      <c r="N4" s="348"/>
      <c r="O4" s="348"/>
      <c r="P4" s="348"/>
      <c r="Q4" s="354"/>
    </row>
    <row r="5" spans="1:24" s="4" customFormat="1" ht="12.75" customHeight="1">
      <c r="A5" s="1"/>
      <c r="B5" s="5"/>
      <c r="C5" s="4" t="s">
        <v>320</v>
      </c>
      <c r="D5" s="16"/>
      <c r="E5" s="6"/>
      <c r="F5" s="16"/>
      <c r="G5" s="17"/>
      <c r="H5" s="6"/>
      <c r="L5" s="10"/>
      <c r="N5" s="22"/>
      <c r="Q5" s="53"/>
      <c r="R5" s="6"/>
      <c r="T5" s="1"/>
      <c r="U5" s="1"/>
      <c r="V5" s="1"/>
      <c r="W5" s="1"/>
      <c r="X5" s="1"/>
    </row>
    <row r="6" spans="2:17" ht="21">
      <c r="B6" s="353"/>
      <c r="C6" s="88" t="s">
        <v>5</v>
      </c>
      <c r="D6" s="88"/>
      <c r="E6" s="88"/>
      <c r="F6" s="88"/>
      <c r="G6" s="88"/>
      <c r="H6" s="88"/>
      <c r="I6" s="88"/>
      <c r="J6" s="88"/>
      <c r="K6" s="88"/>
      <c r="L6" s="88"/>
      <c r="M6" s="88"/>
      <c r="N6" s="88"/>
      <c r="O6" s="88"/>
      <c r="P6" s="88"/>
      <c r="Q6" s="354"/>
    </row>
    <row r="7" spans="2:17" ht="58.5" customHeight="1">
      <c r="B7" s="353"/>
      <c r="C7" s="349" t="s">
        <v>347</v>
      </c>
      <c r="D7" s="467" t="s">
        <v>352</v>
      </c>
      <c r="E7" s="467"/>
      <c r="F7" s="467"/>
      <c r="G7" s="467"/>
      <c r="H7" s="467"/>
      <c r="I7" s="467"/>
      <c r="J7" s="467"/>
      <c r="K7" s="467"/>
      <c r="L7" s="467"/>
      <c r="M7" s="467"/>
      <c r="N7" s="467"/>
      <c r="O7" s="467"/>
      <c r="P7" s="467"/>
      <c r="Q7" s="354"/>
    </row>
    <row r="8" spans="2:17" ht="58.5" customHeight="1">
      <c r="B8" s="353"/>
      <c r="C8" s="349" t="s">
        <v>48</v>
      </c>
      <c r="D8" s="467" t="s">
        <v>379</v>
      </c>
      <c r="E8" s="467"/>
      <c r="F8" s="467"/>
      <c r="G8" s="467"/>
      <c r="H8" s="467"/>
      <c r="I8" s="467"/>
      <c r="J8" s="467"/>
      <c r="K8" s="467"/>
      <c r="L8" s="467"/>
      <c r="M8" s="467"/>
      <c r="N8" s="467"/>
      <c r="O8" s="467"/>
      <c r="P8" s="467"/>
      <c r="Q8" s="354"/>
    </row>
    <row r="9" spans="2:17" ht="58.5" customHeight="1">
      <c r="B9" s="353"/>
      <c r="C9" s="349" t="s">
        <v>368</v>
      </c>
      <c r="D9" s="467" t="s">
        <v>353</v>
      </c>
      <c r="E9" s="467"/>
      <c r="F9" s="467"/>
      <c r="G9" s="467"/>
      <c r="H9" s="467"/>
      <c r="I9" s="467"/>
      <c r="J9" s="467"/>
      <c r="K9" s="467"/>
      <c r="L9" s="467"/>
      <c r="M9" s="467"/>
      <c r="N9" s="467"/>
      <c r="O9" s="467"/>
      <c r="P9" s="467"/>
      <c r="Q9" s="354"/>
    </row>
    <row r="10" spans="2:17" ht="58.5" customHeight="1">
      <c r="B10" s="353"/>
      <c r="C10" s="349" t="s">
        <v>286</v>
      </c>
      <c r="D10" s="467" t="s">
        <v>344</v>
      </c>
      <c r="E10" s="467"/>
      <c r="F10" s="467"/>
      <c r="G10" s="467"/>
      <c r="H10" s="467"/>
      <c r="I10" s="467"/>
      <c r="J10" s="467"/>
      <c r="K10" s="467"/>
      <c r="L10" s="467"/>
      <c r="M10" s="467"/>
      <c r="N10" s="467"/>
      <c r="O10" s="467"/>
      <c r="P10" s="467"/>
      <c r="Q10" s="354"/>
    </row>
    <row r="11" spans="2:17" ht="58.5" customHeight="1">
      <c r="B11" s="353"/>
      <c r="C11" s="349" t="s">
        <v>203</v>
      </c>
      <c r="D11" s="467" t="s">
        <v>208</v>
      </c>
      <c r="E11" s="467"/>
      <c r="F11" s="467"/>
      <c r="G11" s="467"/>
      <c r="H11" s="467"/>
      <c r="I11" s="467"/>
      <c r="J11" s="467"/>
      <c r="K11" s="467"/>
      <c r="L11" s="467"/>
      <c r="M11" s="467"/>
      <c r="N11" s="467"/>
      <c r="O11" s="467"/>
      <c r="P11" s="467"/>
      <c r="Q11" s="354"/>
    </row>
    <row r="12" spans="2:17" ht="48.75" customHeight="1">
      <c r="B12" s="353"/>
      <c r="C12" s="349" t="s">
        <v>129</v>
      </c>
      <c r="D12" s="467" t="s">
        <v>308</v>
      </c>
      <c r="E12" s="467"/>
      <c r="F12" s="467"/>
      <c r="G12" s="467"/>
      <c r="H12" s="467"/>
      <c r="I12" s="467"/>
      <c r="J12" s="467"/>
      <c r="K12" s="467"/>
      <c r="L12" s="467"/>
      <c r="M12" s="467"/>
      <c r="N12" s="467"/>
      <c r="O12" s="467"/>
      <c r="P12" s="467"/>
      <c r="Q12" s="354"/>
    </row>
    <row r="13" spans="2:17" ht="69" customHeight="1">
      <c r="B13" s="353"/>
      <c r="C13" s="349" t="s">
        <v>204</v>
      </c>
      <c r="D13" s="467" t="s">
        <v>67</v>
      </c>
      <c r="E13" s="467"/>
      <c r="F13" s="467"/>
      <c r="G13" s="467"/>
      <c r="H13" s="467"/>
      <c r="I13" s="467"/>
      <c r="J13" s="467"/>
      <c r="K13" s="467"/>
      <c r="L13" s="467"/>
      <c r="M13" s="467"/>
      <c r="N13" s="467"/>
      <c r="O13" s="467"/>
      <c r="P13" s="467"/>
      <c r="Q13" s="354"/>
    </row>
    <row r="14" spans="2:17" ht="15">
      <c r="B14" s="353"/>
      <c r="C14" s="383" t="s">
        <v>69</v>
      </c>
      <c r="D14" s="383"/>
      <c r="E14" s="383"/>
      <c r="F14" s="383"/>
      <c r="G14" s="383"/>
      <c r="H14" s="383"/>
      <c r="I14" s="383"/>
      <c r="J14" s="383"/>
      <c r="K14" s="383"/>
      <c r="L14" s="383"/>
      <c r="M14" s="383"/>
      <c r="N14" s="383"/>
      <c r="O14" s="383"/>
      <c r="P14" s="383"/>
      <c r="Q14" s="354"/>
    </row>
    <row r="15" spans="2:17" ht="56.25" customHeight="1">
      <c r="B15" s="353"/>
      <c r="C15" s="349" t="s">
        <v>30</v>
      </c>
      <c r="D15" s="467" t="s">
        <v>360</v>
      </c>
      <c r="E15" s="467"/>
      <c r="F15" s="467"/>
      <c r="G15" s="467"/>
      <c r="H15" s="467"/>
      <c r="I15" s="467"/>
      <c r="J15" s="467"/>
      <c r="K15" s="467"/>
      <c r="L15" s="467"/>
      <c r="M15" s="467"/>
      <c r="N15" s="467"/>
      <c r="O15" s="467"/>
      <c r="P15" s="467"/>
      <c r="Q15" s="354"/>
    </row>
    <row r="16" spans="2:17" ht="56.25" customHeight="1">
      <c r="B16" s="353"/>
      <c r="C16" s="349" t="s">
        <v>9</v>
      </c>
      <c r="D16" s="467" t="s">
        <v>287</v>
      </c>
      <c r="E16" s="467"/>
      <c r="F16" s="467"/>
      <c r="G16" s="467"/>
      <c r="H16" s="467"/>
      <c r="I16" s="467"/>
      <c r="J16" s="467"/>
      <c r="K16" s="467"/>
      <c r="L16" s="467"/>
      <c r="M16" s="467"/>
      <c r="N16" s="467"/>
      <c r="O16" s="467"/>
      <c r="P16" s="467"/>
      <c r="Q16" s="354"/>
    </row>
    <row r="17" spans="2:17" ht="56.25" customHeight="1">
      <c r="B17" s="353"/>
      <c r="C17" s="349" t="s">
        <v>85</v>
      </c>
      <c r="D17" s="467" t="s">
        <v>288</v>
      </c>
      <c r="E17" s="467"/>
      <c r="F17" s="467"/>
      <c r="G17" s="467"/>
      <c r="H17" s="467"/>
      <c r="I17" s="467"/>
      <c r="J17" s="467"/>
      <c r="K17" s="467"/>
      <c r="L17" s="467"/>
      <c r="M17" s="467"/>
      <c r="N17" s="467"/>
      <c r="O17" s="467"/>
      <c r="P17" s="467"/>
      <c r="Q17" s="354"/>
    </row>
    <row r="18" spans="2:17" ht="56.25" customHeight="1">
      <c r="B18" s="353"/>
      <c r="C18" s="349" t="s">
        <v>171</v>
      </c>
      <c r="D18" s="467" t="s">
        <v>289</v>
      </c>
      <c r="E18" s="467"/>
      <c r="F18" s="467"/>
      <c r="G18" s="467"/>
      <c r="H18" s="467"/>
      <c r="I18" s="467"/>
      <c r="J18" s="467"/>
      <c r="K18" s="467"/>
      <c r="L18" s="467"/>
      <c r="M18" s="467"/>
      <c r="N18" s="467"/>
      <c r="O18" s="467"/>
      <c r="P18" s="467"/>
      <c r="Q18" s="354"/>
    </row>
    <row r="19" spans="2:17" ht="56.25" customHeight="1">
      <c r="B19" s="353"/>
      <c r="C19" s="349" t="s">
        <v>172</v>
      </c>
      <c r="D19" s="467" t="s">
        <v>290</v>
      </c>
      <c r="E19" s="467"/>
      <c r="F19" s="467"/>
      <c r="G19" s="467"/>
      <c r="H19" s="467"/>
      <c r="I19" s="467"/>
      <c r="J19" s="467"/>
      <c r="K19" s="467"/>
      <c r="L19" s="467"/>
      <c r="M19" s="467"/>
      <c r="N19" s="467"/>
      <c r="O19" s="467"/>
      <c r="P19" s="467"/>
      <c r="Q19" s="354"/>
    </row>
    <row r="20" spans="2:17" ht="56.25" customHeight="1">
      <c r="B20" s="353"/>
      <c r="C20" s="349" t="s">
        <v>173</v>
      </c>
      <c r="D20" s="467" t="s">
        <v>291</v>
      </c>
      <c r="E20" s="467"/>
      <c r="F20" s="467"/>
      <c r="G20" s="467"/>
      <c r="H20" s="467"/>
      <c r="I20" s="467"/>
      <c r="J20" s="467"/>
      <c r="K20" s="467"/>
      <c r="L20" s="467"/>
      <c r="M20" s="467"/>
      <c r="N20" s="467"/>
      <c r="O20" s="467"/>
      <c r="P20" s="467"/>
      <c r="Q20" s="354"/>
    </row>
    <row r="21" spans="2:17" ht="56.25" customHeight="1">
      <c r="B21" s="353"/>
      <c r="C21" s="349" t="s">
        <v>175</v>
      </c>
      <c r="D21" s="467" t="s">
        <v>292</v>
      </c>
      <c r="E21" s="467"/>
      <c r="F21" s="467"/>
      <c r="G21" s="467"/>
      <c r="H21" s="467"/>
      <c r="I21" s="467"/>
      <c r="J21" s="467"/>
      <c r="K21" s="467"/>
      <c r="L21" s="467"/>
      <c r="M21" s="467"/>
      <c r="N21" s="467"/>
      <c r="O21" s="467"/>
      <c r="P21" s="467"/>
      <c r="Q21" s="354"/>
    </row>
    <row r="22" spans="2:17" ht="56.25" customHeight="1">
      <c r="B22" s="353"/>
      <c r="C22" s="349" t="s">
        <v>216</v>
      </c>
      <c r="D22" s="467" t="s">
        <v>341</v>
      </c>
      <c r="E22" s="467"/>
      <c r="F22" s="467"/>
      <c r="G22" s="467"/>
      <c r="H22" s="467"/>
      <c r="I22" s="467"/>
      <c r="J22" s="467"/>
      <c r="K22" s="467"/>
      <c r="L22" s="467"/>
      <c r="M22" s="467"/>
      <c r="N22" s="467"/>
      <c r="O22" s="467"/>
      <c r="P22" s="467"/>
      <c r="Q22" s="354"/>
    </row>
    <row r="23" spans="2:17" ht="56.25" customHeight="1">
      <c r="B23" s="353"/>
      <c r="C23" s="349" t="s">
        <v>176</v>
      </c>
      <c r="D23" s="467" t="s">
        <v>293</v>
      </c>
      <c r="E23" s="467"/>
      <c r="F23" s="467"/>
      <c r="G23" s="467"/>
      <c r="H23" s="467"/>
      <c r="I23" s="467"/>
      <c r="J23" s="467"/>
      <c r="K23" s="467"/>
      <c r="L23" s="467"/>
      <c r="M23" s="467"/>
      <c r="N23" s="467"/>
      <c r="O23" s="467"/>
      <c r="P23" s="467"/>
      <c r="Q23" s="354"/>
    </row>
    <row r="24" spans="2:17" ht="56.25" customHeight="1">
      <c r="B24" s="353"/>
      <c r="C24" s="349" t="s">
        <v>178</v>
      </c>
      <c r="D24" s="467" t="s">
        <v>380</v>
      </c>
      <c r="E24" s="467"/>
      <c r="F24" s="467"/>
      <c r="G24" s="467"/>
      <c r="H24" s="467"/>
      <c r="I24" s="467"/>
      <c r="J24" s="467"/>
      <c r="K24" s="467"/>
      <c r="L24" s="467"/>
      <c r="M24" s="467"/>
      <c r="N24" s="467"/>
      <c r="O24" s="467"/>
      <c r="P24" s="467"/>
      <c r="Q24" s="354"/>
    </row>
    <row r="25" spans="2:17" ht="56.25" customHeight="1">
      <c r="B25" s="353"/>
      <c r="C25" s="349" t="s">
        <v>294</v>
      </c>
      <c r="D25" s="467" t="s">
        <v>295</v>
      </c>
      <c r="E25" s="467"/>
      <c r="F25" s="467"/>
      <c r="G25" s="467"/>
      <c r="H25" s="467"/>
      <c r="I25" s="467"/>
      <c r="J25" s="467"/>
      <c r="K25" s="467"/>
      <c r="L25" s="467"/>
      <c r="M25" s="467"/>
      <c r="N25" s="467"/>
      <c r="O25" s="467"/>
      <c r="P25" s="467"/>
      <c r="Q25" s="354"/>
    </row>
    <row r="26" spans="2:17" ht="56.25" customHeight="1">
      <c r="B26" s="353"/>
      <c r="C26" s="349" t="s">
        <v>296</v>
      </c>
      <c r="D26" s="467" t="s">
        <v>297</v>
      </c>
      <c r="E26" s="467"/>
      <c r="F26" s="467"/>
      <c r="G26" s="467"/>
      <c r="H26" s="467"/>
      <c r="I26" s="467"/>
      <c r="J26" s="467"/>
      <c r="K26" s="467"/>
      <c r="L26" s="467"/>
      <c r="M26" s="467"/>
      <c r="N26" s="467"/>
      <c r="O26" s="467"/>
      <c r="P26" s="467"/>
      <c r="Q26" s="354"/>
    </row>
    <row r="27" spans="2:17" ht="56.25" customHeight="1">
      <c r="B27" s="353"/>
      <c r="C27" s="349" t="s">
        <v>298</v>
      </c>
      <c r="D27" s="467" t="s">
        <v>299</v>
      </c>
      <c r="E27" s="467"/>
      <c r="F27" s="467"/>
      <c r="G27" s="467"/>
      <c r="H27" s="467"/>
      <c r="I27" s="467"/>
      <c r="J27" s="467"/>
      <c r="K27" s="467"/>
      <c r="L27" s="467"/>
      <c r="M27" s="467"/>
      <c r="N27" s="467"/>
      <c r="O27" s="467"/>
      <c r="P27" s="467"/>
      <c r="Q27" s="354"/>
    </row>
    <row r="28" spans="2:17" ht="56.25" customHeight="1">
      <c r="B28" s="353"/>
      <c r="C28" s="349" t="s">
        <v>19</v>
      </c>
      <c r="D28" s="467" t="s">
        <v>300</v>
      </c>
      <c r="E28" s="467"/>
      <c r="F28" s="467"/>
      <c r="G28" s="467"/>
      <c r="H28" s="467"/>
      <c r="I28" s="467"/>
      <c r="J28" s="467"/>
      <c r="K28" s="467"/>
      <c r="L28" s="467"/>
      <c r="M28" s="467"/>
      <c r="N28" s="467"/>
      <c r="O28" s="467"/>
      <c r="P28" s="467"/>
      <c r="Q28" s="354"/>
    </row>
    <row r="29" spans="2:17" ht="56.25" customHeight="1">
      <c r="B29" s="353"/>
      <c r="C29" s="349" t="s">
        <v>302</v>
      </c>
      <c r="D29" s="467" t="s">
        <v>301</v>
      </c>
      <c r="E29" s="467"/>
      <c r="F29" s="467"/>
      <c r="G29" s="467"/>
      <c r="H29" s="467"/>
      <c r="I29" s="467"/>
      <c r="J29" s="467"/>
      <c r="K29" s="467"/>
      <c r="L29" s="467"/>
      <c r="M29" s="467"/>
      <c r="N29" s="467"/>
      <c r="O29" s="467"/>
      <c r="P29" s="467"/>
      <c r="Q29" s="354"/>
    </row>
    <row r="30" spans="2:17" ht="56.25" customHeight="1">
      <c r="B30" s="353"/>
      <c r="C30" s="349" t="s">
        <v>180</v>
      </c>
      <c r="D30" s="467" t="s">
        <v>304</v>
      </c>
      <c r="E30" s="467"/>
      <c r="F30" s="467"/>
      <c r="G30" s="467"/>
      <c r="H30" s="467"/>
      <c r="I30" s="467"/>
      <c r="J30" s="467"/>
      <c r="K30" s="467"/>
      <c r="L30" s="467"/>
      <c r="M30" s="467"/>
      <c r="N30" s="467"/>
      <c r="O30" s="467"/>
      <c r="P30" s="467"/>
      <c r="Q30" s="354"/>
    </row>
    <row r="31" spans="2:17" ht="56.25" customHeight="1">
      <c r="B31" s="353"/>
      <c r="C31" s="349" t="s">
        <v>179</v>
      </c>
      <c r="D31" s="467" t="s">
        <v>303</v>
      </c>
      <c r="E31" s="467"/>
      <c r="F31" s="467"/>
      <c r="G31" s="467"/>
      <c r="H31" s="467"/>
      <c r="I31" s="467"/>
      <c r="J31" s="467"/>
      <c r="K31" s="467"/>
      <c r="L31" s="467"/>
      <c r="M31" s="467"/>
      <c r="N31" s="467"/>
      <c r="O31" s="467"/>
      <c r="P31" s="467"/>
      <c r="Q31" s="354"/>
    </row>
    <row r="32" spans="2:17" ht="56.25" customHeight="1">
      <c r="B32" s="353"/>
      <c r="C32" s="349" t="s">
        <v>211</v>
      </c>
      <c r="D32" s="467" t="s">
        <v>305</v>
      </c>
      <c r="E32" s="467"/>
      <c r="F32" s="467"/>
      <c r="G32" s="467"/>
      <c r="H32" s="467"/>
      <c r="I32" s="467"/>
      <c r="J32" s="467"/>
      <c r="K32" s="467"/>
      <c r="L32" s="467"/>
      <c r="M32" s="467"/>
      <c r="N32" s="467"/>
      <c r="O32" s="467"/>
      <c r="P32" s="467"/>
      <c r="Q32" s="354"/>
    </row>
    <row r="33" spans="2:17" ht="56.25" customHeight="1">
      <c r="B33" s="353"/>
      <c r="C33" s="349" t="s">
        <v>213</v>
      </c>
      <c r="D33" s="467" t="s">
        <v>306</v>
      </c>
      <c r="E33" s="467"/>
      <c r="F33" s="467"/>
      <c r="G33" s="467"/>
      <c r="H33" s="467"/>
      <c r="I33" s="467"/>
      <c r="J33" s="467"/>
      <c r="K33" s="467"/>
      <c r="L33" s="467"/>
      <c r="M33" s="467"/>
      <c r="N33" s="467"/>
      <c r="O33" s="467"/>
      <c r="P33" s="467"/>
      <c r="Q33" s="354"/>
    </row>
    <row r="34" spans="2:17" ht="15">
      <c r="B34" s="353"/>
      <c r="C34" s="383" t="s">
        <v>14</v>
      </c>
      <c r="D34" s="383"/>
      <c r="E34" s="383"/>
      <c r="F34" s="383"/>
      <c r="G34" s="383"/>
      <c r="H34" s="383"/>
      <c r="I34" s="383"/>
      <c r="J34" s="383"/>
      <c r="K34" s="383"/>
      <c r="L34" s="383"/>
      <c r="M34" s="383"/>
      <c r="N34" s="383"/>
      <c r="O34" s="383"/>
      <c r="P34" s="383"/>
      <c r="Q34" s="354"/>
    </row>
    <row r="35" spans="2:17" ht="62.25" customHeight="1">
      <c r="B35" s="353"/>
      <c r="C35" s="349" t="s">
        <v>46</v>
      </c>
      <c r="D35" s="467" t="s">
        <v>361</v>
      </c>
      <c r="E35" s="467"/>
      <c r="F35" s="467"/>
      <c r="G35" s="467"/>
      <c r="H35" s="467"/>
      <c r="I35" s="467"/>
      <c r="J35" s="467"/>
      <c r="K35" s="467"/>
      <c r="L35" s="467"/>
      <c r="M35" s="467"/>
      <c r="N35" s="467"/>
      <c r="O35" s="467"/>
      <c r="P35" s="467"/>
      <c r="Q35" s="354"/>
    </row>
    <row r="36" spans="2:17" ht="48.75" customHeight="1">
      <c r="B36" s="353"/>
      <c r="C36" s="349" t="s">
        <v>9</v>
      </c>
      <c r="D36" s="467" t="s">
        <v>343</v>
      </c>
      <c r="E36" s="467"/>
      <c r="F36" s="467"/>
      <c r="G36" s="467"/>
      <c r="H36" s="467"/>
      <c r="I36" s="467"/>
      <c r="J36" s="467"/>
      <c r="K36" s="467"/>
      <c r="L36" s="467"/>
      <c r="M36" s="467"/>
      <c r="N36" s="467"/>
      <c r="O36" s="467"/>
      <c r="P36" s="467"/>
      <c r="Q36" s="354"/>
    </row>
    <row r="37" spans="2:17" ht="48.75" customHeight="1">
      <c r="B37" s="353"/>
      <c r="C37" s="349" t="s">
        <v>85</v>
      </c>
      <c r="D37" s="467" t="s">
        <v>288</v>
      </c>
      <c r="E37" s="467"/>
      <c r="F37" s="467"/>
      <c r="G37" s="467"/>
      <c r="H37" s="467"/>
      <c r="I37" s="467"/>
      <c r="J37" s="467"/>
      <c r="K37" s="467"/>
      <c r="L37" s="467"/>
      <c r="M37" s="467"/>
      <c r="N37" s="467"/>
      <c r="O37" s="467"/>
      <c r="P37" s="467"/>
      <c r="Q37" s="354"/>
    </row>
    <row r="38" spans="2:17" ht="48.75" customHeight="1">
      <c r="B38" s="353"/>
      <c r="C38" s="349" t="s">
        <v>171</v>
      </c>
      <c r="D38" s="467" t="s">
        <v>289</v>
      </c>
      <c r="E38" s="467"/>
      <c r="F38" s="467"/>
      <c r="G38" s="467"/>
      <c r="H38" s="467"/>
      <c r="I38" s="467"/>
      <c r="J38" s="467"/>
      <c r="K38" s="467"/>
      <c r="L38" s="467"/>
      <c r="M38" s="467"/>
      <c r="N38" s="467"/>
      <c r="O38" s="467"/>
      <c r="P38" s="467"/>
      <c r="Q38" s="354"/>
    </row>
    <row r="39" spans="2:17" ht="48.75" customHeight="1">
      <c r="B39" s="353"/>
      <c r="C39" s="349" t="s">
        <v>172</v>
      </c>
      <c r="D39" s="467" t="s">
        <v>290</v>
      </c>
      <c r="E39" s="467"/>
      <c r="F39" s="467"/>
      <c r="G39" s="467"/>
      <c r="H39" s="467"/>
      <c r="I39" s="467"/>
      <c r="J39" s="467"/>
      <c r="K39" s="467"/>
      <c r="L39" s="467"/>
      <c r="M39" s="467"/>
      <c r="N39" s="467"/>
      <c r="O39" s="467"/>
      <c r="P39" s="467"/>
      <c r="Q39" s="354"/>
    </row>
    <row r="40" spans="2:17" ht="48.75" customHeight="1">
      <c r="B40" s="353"/>
      <c r="C40" s="349" t="s">
        <v>173</v>
      </c>
      <c r="D40" s="467" t="s">
        <v>291</v>
      </c>
      <c r="E40" s="467"/>
      <c r="F40" s="467"/>
      <c r="G40" s="467"/>
      <c r="H40" s="467"/>
      <c r="I40" s="467"/>
      <c r="J40" s="467"/>
      <c r="K40" s="467"/>
      <c r="L40" s="467"/>
      <c r="M40" s="467"/>
      <c r="N40" s="467"/>
      <c r="O40" s="467"/>
      <c r="P40" s="467"/>
      <c r="Q40" s="354"/>
    </row>
    <row r="41" spans="2:17" ht="48.75" customHeight="1">
      <c r="B41" s="353"/>
      <c r="C41" s="349" t="s">
        <v>175</v>
      </c>
      <c r="D41" s="467" t="s">
        <v>292</v>
      </c>
      <c r="E41" s="467"/>
      <c r="F41" s="467"/>
      <c r="G41" s="467"/>
      <c r="H41" s="467"/>
      <c r="I41" s="467"/>
      <c r="J41" s="467"/>
      <c r="K41" s="467"/>
      <c r="L41" s="467"/>
      <c r="M41" s="467"/>
      <c r="N41" s="467"/>
      <c r="O41" s="467"/>
      <c r="P41" s="467"/>
      <c r="Q41" s="354"/>
    </row>
    <row r="42" spans="2:17" ht="48.75" customHeight="1">
      <c r="B42" s="353"/>
      <c r="C42" s="349" t="s">
        <v>216</v>
      </c>
      <c r="D42" s="467" t="s">
        <v>381</v>
      </c>
      <c r="E42" s="467"/>
      <c r="F42" s="467"/>
      <c r="G42" s="467"/>
      <c r="H42" s="467"/>
      <c r="I42" s="467"/>
      <c r="J42" s="467"/>
      <c r="K42" s="467"/>
      <c r="L42" s="467"/>
      <c r="M42" s="467"/>
      <c r="N42" s="467"/>
      <c r="O42" s="467"/>
      <c r="P42" s="467"/>
      <c r="Q42" s="354"/>
    </row>
    <row r="43" spans="2:17" ht="72.75" customHeight="1">
      <c r="B43" s="353"/>
      <c r="C43" s="349" t="s">
        <v>210</v>
      </c>
      <c r="D43" s="467" t="s">
        <v>331</v>
      </c>
      <c r="E43" s="467"/>
      <c r="F43" s="467"/>
      <c r="G43" s="467"/>
      <c r="H43" s="467"/>
      <c r="I43" s="467"/>
      <c r="J43" s="467"/>
      <c r="K43" s="467"/>
      <c r="L43" s="467"/>
      <c r="M43" s="467"/>
      <c r="N43" s="467"/>
      <c r="O43" s="467"/>
      <c r="P43" s="467"/>
      <c r="Q43" s="354"/>
    </row>
    <row r="44" spans="2:17" ht="48.75" customHeight="1">
      <c r="B44" s="353"/>
      <c r="C44" s="349" t="s">
        <v>129</v>
      </c>
      <c r="D44" s="467" t="s">
        <v>308</v>
      </c>
      <c r="E44" s="467"/>
      <c r="F44" s="467"/>
      <c r="G44" s="467"/>
      <c r="H44" s="467"/>
      <c r="I44" s="467"/>
      <c r="J44" s="467"/>
      <c r="K44" s="467"/>
      <c r="L44" s="467"/>
      <c r="M44" s="467"/>
      <c r="N44" s="467"/>
      <c r="O44" s="467"/>
      <c r="P44" s="467"/>
      <c r="Q44" s="354"/>
    </row>
    <row r="45" spans="2:17" ht="48.75" customHeight="1">
      <c r="B45" s="353"/>
      <c r="C45" s="349" t="s">
        <v>128</v>
      </c>
      <c r="D45" s="467" t="s">
        <v>332</v>
      </c>
      <c r="E45" s="467"/>
      <c r="F45" s="467"/>
      <c r="G45" s="467"/>
      <c r="H45" s="467"/>
      <c r="I45" s="467"/>
      <c r="J45" s="467"/>
      <c r="K45" s="467"/>
      <c r="L45" s="467"/>
      <c r="M45" s="467"/>
      <c r="N45" s="467"/>
      <c r="O45" s="467"/>
      <c r="P45" s="467"/>
      <c r="Q45" s="354"/>
    </row>
    <row r="46" spans="2:17" ht="48.75" customHeight="1">
      <c r="B46" s="353"/>
      <c r="C46" s="349" t="s">
        <v>217</v>
      </c>
      <c r="D46" s="467" t="s">
        <v>309</v>
      </c>
      <c r="E46" s="467"/>
      <c r="F46" s="467"/>
      <c r="G46" s="467"/>
      <c r="H46" s="467"/>
      <c r="I46" s="467"/>
      <c r="J46" s="467"/>
      <c r="K46" s="467"/>
      <c r="L46" s="467"/>
      <c r="M46" s="467"/>
      <c r="N46" s="467"/>
      <c r="O46" s="467"/>
      <c r="P46" s="467"/>
      <c r="Q46" s="354"/>
    </row>
    <row r="47" spans="2:17" ht="48.75" customHeight="1">
      <c r="B47" s="353"/>
      <c r="C47" s="349" t="s">
        <v>139</v>
      </c>
      <c r="D47" s="467" t="s">
        <v>310</v>
      </c>
      <c r="E47" s="467"/>
      <c r="F47" s="467"/>
      <c r="G47" s="467"/>
      <c r="H47" s="467"/>
      <c r="I47" s="467"/>
      <c r="J47" s="467"/>
      <c r="K47" s="467"/>
      <c r="L47" s="467"/>
      <c r="M47" s="467"/>
      <c r="N47" s="467"/>
      <c r="O47" s="467"/>
      <c r="P47" s="467"/>
      <c r="Q47" s="354"/>
    </row>
    <row r="48" spans="2:17" ht="48.75" customHeight="1">
      <c r="B48" s="353"/>
      <c r="C48" s="349" t="s">
        <v>140</v>
      </c>
      <c r="D48" s="467" t="s">
        <v>311</v>
      </c>
      <c r="E48" s="467"/>
      <c r="F48" s="467"/>
      <c r="G48" s="467"/>
      <c r="H48" s="467"/>
      <c r="I48" s="467"/>
      <c r="J48" s="467"/>
      <c r="K48" s="467"/>
      <c r="L48" s="467"/>
      <c r="M48" s="467"/>
      <c r="N48" s="467"/>
      <c r="O48" s="467"/>
      <c r="P48" s="467"/>
      <c r="Q48" s="354"/>
    </row>
    <row r="49" spans="2:17" ht="48.75" customHeight="1">
      <c r="B49" s="353"/>
      <c r="C49" s="349" t="s">
        <v>176</v>
      </c>
      <c r="D49" s="467" t="s">
        <v>312</v>
      </c>
      <c r="E49" s="467"/>
      <c r="F49" s="467"/>
      <c r="G49" s="467"/>
      <c r="H49" s="467"/>
      <c r="I49" s="467"/>
      <c r="J49" s="467"/>
      <c r="K49" s="467"/>
      <c r="L49" s="467"/>
      <c r="M49" s="467"/>
      <c r="N49" s="467"/>
      <c r="O49" s="467"/>
      <c r="P49" s="467"/>
      <c r="Q49" s="354"/>
    </row>
    <row r="50" spans="2:17" ht="48.75" customHeight="1">
      <c r="B50" s="353"/>
      <c r="C50" s="349" t="s">
        <v>178</v>
      </c>
      <c r="D50" s="467" t="s">
        <v>342</v>
      </c>
      <c r="E50" s="467"/>
      <c r="F50" s="467"/>
      <c r="G50" s="467"/>
      <c r="H50" s="467"/>
      <c r="I50" s="467"/>
      <c r="J50" s="467"/>
      <c r="K50" s="467"/>
      <c r="L50" s="467"/>
      <c r="M50" s="467"/>
      <c r="N50" s="467"/>
      <c r="O50" s="467"/>
      <c r="P50" s="467"/>
      <c r="Q50" s="354"/>
    </row>
    <row r="51" spans="2:17" ht="48.75" customHeight="1">
      <c r="B51" s="353"/>
      <c r="C51" s="349" t="s">
        <v>222</v>
      </c>
      <c r="D51" s="467" t="s">
        <v>313</v>
      </c>
      <c r="E51" s="467"/>
      <c r="F51" s="467"/>
      <c r="G51" s="467"/>
      <c r="H51" s="467"/>
      <c r="I51" s="467"/>
      <c r="J51" s="467"/>
      <c r="K51" s="467"/>
      <c r="L51" s="467"/>
      <c r="M51" s="467"/>
      <c r="N51" s="467"/>
      <c r="O51" s="467"/>
      <c r="P51" s="467"/>
      <c r="Q51" s="354"/>
    </row>
    <row r="52" spans="2:17" ht="48.75" customHeight="1">
      <c r="B52" s="353"/>
      <c r="C52" s="349" t="s">
        <v>223</v>
      </c>
      <c r="D52" s="467" t="s">
        <v>314</v>
      </c>
      <c r="E52" s="467"/>
      <c r="F52" s="467"/>
      <c r="G52" s="467"/>
      <c r="H52" s="467"/>
      <c r="I52" s="467"/>
      <c r="J52" s="467"/>
      <c r="K52" s="467"/>
      <c r="L52" s="467"/>
      <c r="M52" s="467"/>
      <c r="N52" s="467"/>
      <c r="O52" s="467"/>
      <c r="P52" s="467"/>
      <c r="Q52" s="354"/>
    </row>
    <row r="53" spans="2:17" ht="48.75" customHeight="1">
      <c r="B53" s="353"/>
      <c r="C53" s="349" t="s">
        <v>225</v>
      </c>
      <c r="D53" s="467" t="s">
        <v>315</v>
      </c>
      <c r="E53" s="467"/>
      <c r="F53" s="467"/>
      <c r="G53" s="467"/>
      <c r="H53" s="467"/>
      <c r="I53" s="467"/>
      <c r="J53" s="467"/>
      <c r="K53" s="467"/>
      <c r="L53" s="467"/>
      <c r="M53" s="467"/>
      <c r="N53" s="467"/>
      <c r="O53" s="467"/>
      <c r="P53" s="467"/>
      <c r="Q53" s="354"/>
    </row>
    <row r="54" spans="2:17" ht="48.75" customHeight="1">
      <c r="B54" s="353"/>
      <c r="C54" s="349" t="s">
        <v>185</v>
      </c>
      <c r="D54" s="467" t="s">
        <v>316</v>
      </c>
      <c r="E54" s="467"/>
      <c r="F54" s="467"/>
      <c r="G54" s="467"/>
      <c r="H54" s="467"/>
      <c r="I54" s="467"/>
      <c r="J54" s="467"/>
      <c r="K54" s="467"/>
      <c r="L54" s="467"/>
      <c r="M54" s="467"/>
      <c r="N54" s="467"/>
      <c r="O54" s="467"/>
      <c r="P54" s="467"/>
      <c r="Q54" s="354"/>
    </row>
    <row r="55" spans="2:17" ht="48.75" customHeight="1">
      <c r="B55" s="353"/>
      <c r="C55" s="349" t="s">
        <v>186</v>
      </c>
      <c r="D55" s="467" t="s">
        <v>317</v>
      </c>
      <c r="E55" s="467"/>
      <c r="F55" s="467"/>
      <c r="G55" s="467"/>
      <c r="H55" s="467"/>
      <c r="I55" s="467"/>
      <c r="J55" s="467"/>
      <c r="K55" s="467"/>
      <c r="L55" s="467"/>
      <c r="M55" s="467"/>
      <c r="N55" s="467"/>
      <c r="O55" s="467"/>
      <c r="P55" s="467"/>
      <c r="Q55" s="354"/>
    </row>
    <row r="56" spans="2:17" ht="48.75" customHeight="1">
      <c r="B56" s="353"/>
      <c r="C56" s="349" t="s">
        <v>180</v>
      </c>
      <c r="D56" s="467" t="s">
        <v>304</v>
      </c>
      <c r="E56" s="467"/>
      <c r="F56" s="467"/>
      <c r="G56" s="467"/>
      <c r="H56" s="467"/>
      <c r="I56" s="467"/>
      <c r="J56" s="467"/>
      <c r="K56" s="467"/>
      <c r="L56" s="467"/>
      <c r="M56" s="467"/>
      <c r="N56" s="467"/>
      <c r="O56" s="467"/>
      <c r="P56" s="467"/>
      <c r="Q56" s="354"/>
    </row>
    <row r="57" spans="2:17" ht="48.75" customHeight="1">
      <c r="B57" s="353"/>
      <c r="C57" s="349" t="s">
        <v>179</v>
      </c>
      <c r="D57" s="467" t="s">
        <v>303</v>
      </c>
      <c r="E57" s="467"/>
      <c r="F57" s="467"/>
      <c r="G57" s="467"/>
      <c r="H57" s="467"/>
      <c r="I57" s="467"/>
      <c r="J57" s="467"/>
      <c r="K57" s="467"/>
      <c r="L57" s="467"/>
      <c r="M57" s="467"/>
      <c r="N57" s="467"/>
      <c r="O57" s="467"/>
      <c r="P57" s="467"/>
      <c r="Q57" s="354"/>
    </row>
    <row r="58" spans="2:17" ht="48.75" customHeight="1">
      <c r="B58" s="353"/>
      <c r="C58" s="349" t="s">
        <v>226</v>
      </c>
      <c r="D58" s="467" t="s">
        <v>318</v>
      </c>
      <c r="E58" s="467"/>
      <c r="F58" s="467"/>
      <c r="G58" s="467"/>
      <c r="H58" s="467"/>
      <c r="I58" s="467"/>
      <c r="J58" s="467"/>
      <c r="K58" s="467"/>
      <c r="L58" s="467"/>
      <c r="M58" s="467"/>
      <c r="N58" s="467"/>
      <c r="O58" s="467"/>
      <c r="P58" s="467"/>
      <c r="Q58" s="354"/>
    </row>
    <row r="59" spans="2:17" ht="15.75" thickBot="1">
      <c r="B59" s="355"/>
      <c r="C59" s="356"/>
      <c r="D59" s="356"/>
      <c r="E59" s="357"/>
      <c r="F59" s="357"/>
      <c r="G59" s="357"/>
      <c r="H59" s="357"/>
      <c r="I59" s="357"/>
      <c r="J59" s="357"/>
      <c r="K59" s="357"/>
      <c r="L59" s="357"/>
      <c r="M59" s="357"/>
      <c r="N59" s="357"/>
      <c r="O59" s="357"/>
      <c r="P59" s="357"/>
      <c r="Q59" s="358"/>
    </row>
    <row r="60" ht="15">
      <c r="C60" s="57" t="s">
        <v>391</v>
      </c>
    </row>
  </sheetData>
  <sheetProtection/>
  <mergeCells count="50">
    <mergeCell ref="D7:P7"/>
    <mergeCell ref="D8:P8"/>
    <mergeCell ref="D10:P10"/>
    <mergeCell ref="D11:P11"/>
    <mergeCell ref="D13:P13"/>
    <mergeCell ref="D15:P15"/>
    <mergeCell ref="D12:P12"/>
    <mergeCell ref="D9:P9"/>
    <mergeCell ref="D16:P16"/>
    <mergeCell ref="D17:P17"/>
    <mergeCell ref="D18:P18"/>
    <mergeCell ref="D19:P19"/>
    <mergeCell ref="D20:P20"/>
    <mergeCell ref="D21:P21"/>
    <mergeCell ref="D22:P22"/>
    <mergeCell ref="D23:P23"/>
    <mergeCell ref="D24:P24"/>
    <mergeCell ref="D25:P25"/>
    <mergeCell ref="D26:P26"/>
    <mergeCell ref="D27:P27"/>
    <mergeCell ref="D28:P28"/>
    <mergeCell ref="D29:P29"/>
    <mergeCell ref="D30:P30"/>
    <mergeCell ref="D31:P31"/>
    <mergeCell ref="D32:P32"/>
    <mergeCell ref="D33:P33"/>
    <mergeCell ref="D35:P35"/>
    <mergeCell ref="D36:P36"/>
    <mergeCell ref="D37:P37"/>
    <mergeCell ref="D38:P38"/>
    <mergeCell ref="D39:P39"/>
    <mergeCell ref="D40:P40"/>
    <mergeCell ref="D41:P41"/>
    <mergeCell ref="D42:P42"/>
    <mergeCell ref="D43:P43"/>
    <mergeCell ref="D44:P44"/>
    <mergeCell ref="D45:P45"/>
    <mergeCell ref="D46:P46"/>
    <mergeCell ref="D47:P47"/>
    <mergeCell ref="D48:P48"/>
    <mergeCell ref="D49:P49"/>
    <mergeCell ref="D50:P50"/>
    <mergeCell ref="D51:P51"/>
    <mergeCell ref="D52:P52"/>
    <mergeCell ref="D53:P53"/>
    <mergeCell ref="D54:P54"/>
    <mergeCell ref="D55:P55"/>
    <mergeCell ref="D56:P56"/>
    <mergeCell ref="D57:P57"/>
    <mergeCell ref="D58:P58"/>
  </mergeCells>
  <hyperlinks>
    <hyperlink ref="J1" location="Overview_Goto" display="Overview"/>
    <hyperlink ref="L1" location="AmazonEC2_Goto" display="Amazon EC2"/>
    <hyperlink ref="N1" location="Colo_Goto" display="Co-Location"/>
    <hyperlink ref="P1" location="Onsite_Goto" display="3) On-Site"/>
    <hyperlink ref="C1" r:id="rId1" display="AWS Economics Center"/>
    <hyperlink ref="D1" r:id="rId2" display="User Guide"/>
  </hyperlinks>
  <printOptions/>
  <pageMargins left="0.7" right="0.7" top="0.75" bottom="0.75" header="0.3" footer="0.3"/>
  <pageSetup fitToHeight="5" fitToWidth="1" horizontalDpi="600" verticalDpi="600" orientation="portrait" scale="63"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Amazon.com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Amazon EC2 Cost Comparison Calculator</dc:title>
  <dc:subject/>
  <dc:creator>Amazon Web Services</dc:creator>
  <cp:keywords>Amazon Web Services, AWS, EC2, TCO</cp:keywords>
  <dc:description>Amazon Web Services (AWS) offers companies of all sizes an elastic, reliable, flexible, low-cost infrastructure web services platform in the cloud.  Many companies have already launched applications in the cloud while others are currently evaluating the costs and benefits of moving IT infrastructure to the cloud.  To help financial decision makers quantify the direct economic benefits of cloud computing compared to traditional IT infrastructure alternatives, AWS has published the Amazon EC2 Cost Comparison Calculator, a basic Microsoft Excel-based cost-comparison tool.  While the Amazon EC2 Cost Comparison Calculator is designed to be self-explanatory, an accompanying user guide provides detailed explanations of the calculator’s inputs, assumptions, and calculations.  Current versions of the Amazon EC2 Cost Comparison Calculator are available for free download at http://aws.amazon.com/economics.</dc:description>
  <cp:lastModifiedBy>Canales Saldana, Ivan</cp:lastModifiedBy>
  <cp:lastPrinted>2009-12-07T21:07:11Z</cp:lastPrinted>
  <dcterms:created xsi:type="dcterms:W3CDTF">2009-03-13T05:49:21Z</dcterms:created>
  <dcterms:modified xsi:type="dcterms:W3CDTF">2012-03-06T17:38:01Z</dcterms:modified>
  <cp:category>AWS Economics Center</cp:category>
  <cp:version/>
  <cp:contentType/>
  <cp:contentStatus/>
</cp:coreProperties>
</file>

<file path=docProps/custom.xml><?xml version="1.0" encoding="utf-8"?>
<Properties xmlns="http://schemas.openxmlformats.org/officeDocument/2006/custom-properties" xmlns:vt="http://schemas.openxmlformats.org/officeDocument/2006/docPropsVTypes"/>
</file>